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drawings/drawing2.xml" ContentType="application/vnd.openxmlformats-officedocument.drawing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F:\Preuzimanje\"/>
    </mc:Choice>
  </mc:AlternateContent>
  <xr:revisionPtr revIDLastSave="0" documentId="13_ncr:1_{01AB751E-BACA-44A5-8036-56418F707D2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JUB" sheetId="1" r:id="rId1"/>
    <sheet name="MEL" sheetId="4" r:id="rId2"/>
    <sheet name="Izvještaj" sheetId="3" r:id="rId3"/>
    <sheet name="List3" sheetId="5" state="hidden" r:id="rId4"/>
    <sheet name="List2" sheetId="2" state="hidden" r:id="rId5"/>
  </sheets>
  <definedNames>
    <definedName name="ca">List3!$B$13:$D$25</definedName>
    <definedName name="dub">List3!$M$1:$N$12</definedName>
    <definedName name="dubi">List3!$K$1:$L$12</definedName>
    <definedName name="F">List2!$K$1:$M$7</definedName>
    <definedName name="fosfdj">List2!$U$8:$W$12</definedName>
    <definedName name="hranj">List2!$L$35:$O$52</definedName>
    <definedName name="humsol">List2!$P$45:$Q$47</definedName>
    <definedName name="humus">List2!$F$1:$G$4</definedName>
    <definedName name="izn">List2!$A$3:$D$20</definedName>
    <definedName name="K">List2!$N$1:$P$7</definedName>
    <definedName name="kalijumdj">List2!$T$15:$V$19</definedName>
    <definedName name="KAN">List2!$O$25:$P$27</definedName>
    <definedName name="KANa">List2!$N$24:$O$27</definedName>
    <definedName name="kd">List3!$I$43:$K$47</definedName>
    <definedName name="kdj">List2!$U$15:$V$19</definedName>
    <definedName name="kis">List3!$C$2:$E$9</definedName>
    <definedName name="kk">List3!$D$44:$E$48</definedName>
    <definedName name="MAP">List3!$B$30:$C$35</definedName>
    <definedName name="mapom">List3!$Q$4:$S$4</definedName>
    <definedName name="N">List2!$H$1:$J$7</definedName>
    <definedName name="Na">List2!$I$1:$J$7</definedName>
    <definedName name="NPK">List2!$E$10:$F$24</definedName>
    <definedName name="NPKP">List2!$F$10:$I$24</definedName>
    <definedName name="ostaci">List2!$Q$1:$R$8</definedName>
    <definedName name="p">List2!$V$8:$W$12</definedName>
    <definedName name="pH">List2!$Q$37:$U$39</definedName>
    <definedName name="pHa">List2!$R$38:$U$39</definedName>
    <definedName name="pp">List3!$D$30:$E$35</definedName>
    <definedName name="Soja">DJUB!$S$1:$V$1</definedName>
    <definedName name="st">List2!$R$11:$T$13</definedName>
    <definedName name="stajnjak">List2!$O$11:$P$17</definedName>
    <definedName name="start">List2!$J$10:$K$19</definedName>
    <definedName name="Startno">List2!$K$10:$N$19</definedName>
    <definedName name="stv">List3!$H$17:$I$28</definedName>
    <definedName name="sup">List3!$I$31:$K$36</definedName>
    <definedName name="tekstura">List3!$A$2:$B$9</definedName>
    <definedName name="usjev">List2!$H$43:$I$60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35" i="2" l="1"/>
  <c r="D28" i="2"/>
  <c r="H26" i="3" l="1"/>
  <c r="H24" i="3"/>
  <c r="C18" i="3"/>
  <c r="B18" i="3"/>
  <c r="J24" i="5"/>
  <c r="D17" i="3"/>
  <c r="C17" i="3"/>
  <c r="A18" i="3"/>
  <c r="C15" i="3" l="1"/>
  <c r="B15" i="3"/>
  <c r="F18" i="5"/>
  <c r="E12" i="3" s="1"/>
  <c r="B29" i="5" l="1"/>
  <c r="E38" i="5"/>
  <c r="G14" i="3" s="1"/>
  <c r="B42" i="1" l="1"/>
  <c r="T39" i="1" s="1"/>
  <c r="M33" i="5"/>
  <c r="P40" i="1" l="1"/>
  <c r="H7" i="5"/>
  <c r="B12" i="3" s="1"/>
  <c r="G44" i="5"/>
  <c r="G31" i="5"/>
  <c r="A1" i="5" l="1"/>
  <c r="B11" i="3" s="1"/>
  <c r="H3" i="5"/>
  <c r="I3" i="5"/>
  <c r="G13" i="5"/>
  <c r="H13" i="5"/>
  <c r="G14" i="5"/>
  <c r="K18" i="5"/>
  <c r="L15" i="5" s="1"/>
  <c r="K19" i="5"/>
  <c r="I15" i="5" s="1"/>
  <c r="K24" i="5"/>
  <c r="K25" i="5"/>
  <c r="J26" i="5"/>
  <c r="K26" i="5" s="1"/>
  <c r="A31" i="5"/>
  <c r="A32" i="5"/>
  <c r="A38" i="5"/>
  <c r="K24" i="4"/>
  <c r="A39" i="5"/>
  <c r="G48" i="5"/>
  <c r="A40" i="5" l="1"/>
  <c r="A41" i="5" s="1"/>
  <c r="A42" i="5" s="1"/>
  <c r="I7" i="5"/>
  <c r="F11" i="3"/>
  <c r="H9" i="4"/>
  <c r="D11" i="3"/>
  <c r="K33" i="4"/>
  <c r="G17" i="3"/>
  <c r="L19" i="5"/>
  <c r="K22" i="4" s="1"/>
  <c r="M19" i="5"/>
  <c r="D15" i="3" s="1"/>
  <c r="L24" i="5"/>
  <c r="M25" i="5"/>
  <c r="D18" i="3" s="1"/>
  <c r="A33" i="5"/>
  <c r="A34" i="5" s="1"/>
  <c r="A35" i="5" s="1"/>
  <c r="K9" i="4"/>
  <c r="I13" i="5"/>
  <c r="G12" i="3" s="1"/>
  <c r="L26" i="5"/>
  <c r="K31" i="4" s="1"/>
  <c r="J13" i="5" l="1"/>
  <c r="H12" i="3" s="1"/>
  <c r="C38" i="5"/>
  <c r="C42" i="5"/>
  <c r="H13" i="4"/>
  <c r="G45" i="5" l="1"/>
  <c r="G18" i="3" s="1"/>
  <c r="F18" i="3"/>
  <c r="D38" i="5"/>
  <c r="G15" i="3" s="1"/>
  <c r="F15" i="3"/>
  <c r="E25" i="4"/>
  <c r="E34" i="4"/>
  <c r="K13" i="4"/>
  <c r="K25" i="4" l="1"/>
  <c r="N35" i="5"/>
  <c r="D47" i="2" s="1"/>
  <c r="H42" i="1" s="1"/>
  <c r="N40" i="1" s="1"/>
  <c r="C42" i="1"/>
  <c r="K34" i="4"/>
  <c r="C25" i="3"/>
  <c r="A25" i="2"/>
  <c r="M24" i="1" s="1"/>
  <c r="B40" i="3" l="1"/>
  <c r="B33" i="1"/>
  <c r="R24" i="2"/>
  <c r="R25" i="2"/>
  <c r="W7" i="2"/>
  <c r="U1" i="2"/>
  <c r="T2" i="2" s="1"/>
  <c r="T4" i="2" s="1"/>
  <c r="C38" i="3" s="1"/>
  <c r="V5" i="1" l="1"/>
  <c r="F37" i="2" l="1"/>
  <c r="O5" i="1" l="1"/>
  <c r="T24" i="1" s="1"/>
  <c r="C26" i="3"/>
  <c r="A43" i="2"/>
  <c r="N23" i="2"/>
  <c r="M29" i="2" s="1"/>
  <c r="M22" i="2"/>
  <c r="L29" i="2" s="1"/>
  <c r="J22" i="2"/>
  <c r="L28" i="2" s="1"/>
  <c r="A28" i="2"/>
  <c r="A23" i="2"/>
  <c r="M28" i="1" l="1"/>
  <c r="B44" i="2"/>
  <c r="B37" i="3"/>
  <c r="M18" i="1"/>
  <c r="B30" i="1" s="1"/>
  <c r="F35" i="2"/>
  <c r="C27" i="2"/>
  <c r="B36" i="1"/>
  <c r="B25" i="2"/>
  <c r="G37" i="2" s="1"/>
  <c r="B39" i="2" s="1"/>
  <c r="D25" i="2"/>
  <c r="I37" i="2" s="1"/>
  <c r="D39" i="2" s="1"/>
  <c r="C25" i="2"/>
  <c r="Q43" i="2"/>
  <c r="Q47" i="2" l="1"/>
  <c r="Q46" i="2"/>
  <c r="Q45" i="2"/>
  <c r="I29" i="2" s="1"/>
  <c r="I28" i="2"/>
  <c r="R43" i="2"/>
  <c r="R38" i="2"/>
  <c r="R39" i="2"/>
  <c r="S38" i="2"/>
  <c r="J21" i="2" l="1"/>
  <c r="J28" i="2" s="1"/>
  <c r="I30" i="2"/>
  <c r="Q20" i="2"/>
  <c r="O20" i="2"/>
  <c r="E41" i="2"/>
  <c r="H37" i="2" s="1"/>
  <c r="C39" i="2" s="1"/>
  <c r="S20" i="2"/>
  <c r="R20" i="2"/>
  <c r="K21" i="2" l="1"/>
  <c r="K29" i="2" s="1"/>
  <c r="I31" i="2"/>
  <c r="N24" i="1"/>
  <c r="P24" i="1"/>
  <c r="Q24" i="1"/>
  <c r="U39" i="2"/>
  <c r="T39" i="2"/>
  <c r="S39" i="2"/>
  <c r="U38" i="2"/>
  <c r="T38" i="2"/>
  <c r="D27" i="2"/>
  <c r="E27" i="2" s="1"/>
  <c r="B27" i="2"/>
  <c r="O24" i="1" l="1"/>
  <c r="H33" i="1" s="1"/>
  <c r="F6" i="2"/>
  <c r="F7" i="2"/>
  <c r="F8" i="2"/>
  <c r="U35" i="2"/>
  <c r="S35" i="2"/>
  <c r="E30" i="2" s="1"/>
  <c r="D35" i="2" s="1"/>
  <c r="D36" i="2" s="1"/>
  <c r="R35" i="2"/>
  <c r="C30" i="2"/>
  <c r="D30" i="2" l="1"/>
  <c r="C35" i="2" s="1"/>
  <c r="C36" i="2" s="1"/>
  <c r="N16" i="1"/>
  <c r="C29" i="1"/>
  <c r="P18" i="2"/>
  <c r="Q19" i="2" s="1"/>
  <c r="Q21" i="2" s="1"/>
  <c r="B35" i="2"/>
  <c r="B36" i="2" s="1"/>
  <c r="Q6" i="1"/>
  <c r="O6" i="1"/>
  <c r="O11" i="1" l="1"/>
  <c r="R6" i="1"/>
  <c r="B6" i="3"/>
  <c r="E36" i="3"/>
  <c r="C24" i="3"/>
  <c r="H25" i="3"/>
  <c r="G33" i="3" l="1"/>
  <c r="G38" i="3" s="1"/>
  <c r="S25" i="2"/>
  <c r="S24" i="2"/>
  <c r="W5" i="1" l="1"/>
  <c r="F36" i="1" l="1"/>
  <c r="F33" i="1"/>
  <c r="F30" i="1"/>
  <c r="F29" i="1"/>
  <c r="A42" i="3" l="1"/>
  <c r="E29" i="1" l="1"/>
  <c r="D36" i="3"/>
  <c r="H36" i="3" s="1"/>
  <c r="Q31" i="1"/>
  <c r="Q30" i="1"/>
  <c r="S19" i="2"/>
  <c r="J23" i="2"/>
  <c r="M28" i="2" s="1"/>
  <c r="M23" i="1"/>
  <c r="S21" i="2" l="1"/>
  <c r="D37" i="2" s="1"/>
  <c r="R19" i="2"/>
  <c r="B37" i="2"/>
  <c r="B38" i="2" s="1"/>
  <c r="B40" i="2" s="1"/>
  <c r="O9" i="1" l="1"/>
  <c r="P11" i="1"/>
  <c r="P9" i="1"/>
  <c r="Q11" i="1"/>
  <c r="Q9" i="1"/>
  <c r="C33" i="1"/>
  <c r="E33" i="1" s="1"/>
  <c r="C40" i="3"/>
  <c r="G40" i="3" s="1"/>
  <c r="R21" i="2"/>
  <c r="P16" i="1" s="1"/>
  <c r="I29" i="1" s="1"/>
  <c r="O16" i="1"/>
  <c r="H29" i="1" s="1"/>
  <c r="Q16" i="1"/>
  <c r="J29" i="1" s="1"/>
  <c r="J18" i="1"/>
  <c r="D38" i="2" l="1"/>
  <c r="C37" i="2"/>
  <c r="C38" i="2" s="1"/>
  <c r="C40" i="2" s="1"/>
  <c r="F36" i="2" s="1"/>
  <c r="C37" i="3" l="1"/>
  <c r="G37" i="3" s="1"/>
  <c r="I36" i="2"/>
  <c r="H36" i="2"/>
  <c r="G36" i="2"/>
  <c r="Q10" i="1"/>
  <c r="T14" i="1" s="1"/>
  <c r="D40" i="2"/>
  <c r="J33" i="1"/>
  <c r="I33" i="1"/>
  <c r="N19" i="1" l="1"/>
  <c r="T19" i="1" s="1"/>
  <c r="T16" i="1"/>
  <c r="B47" i="2"/>
  <c r="E40" i="2"/>
  <c r="B41" i="2"/>
  <c r="B42" i="2" s="1"/>
  <c r="B43" i="2" s="1"/>
  <c r="O19" i="1" l="1"/>
  <c r="I40" i="2"/>
  <c r="P36" i="1" s="1"/>
  <c r="Q19" i="1"/>
  <c r="H40" i="2"/>
  <c r="O36" i="1" s="1"/>
  <c r="I39" i="1" s="1"/>
  <c r="E29" i="3" s="1"/>
  <c r="P19" i="1"/>
  <c r="C30" i="1"/>
  <c r="E30" i="1" s="1"/>
  <c r="C41" i="2"/>
  <c r="C42" i="2" s="1"/>
  <c r="D41" i="2"/>
  <c r="D42" i="2" s="1"/>
  <c r="D43" i="2" s="1"/>
  <c r="P37" i="1" l="1"/>
  <c r="T37" i="1" s="1"/>
  <c r="U22" i="2" s="1"/>
  <c r="U23" i="2" s="1"/>
  <c r="T24" i="2" s="1"/>
  <c r="B45" i="2"/>
  <c r="J39" i="1"/>
  <c r="F29" i="3" s="1"/>
  <c r="C43" i="2"/>
  <c r="O37" i="1"/>
  <c r="T38" i="1" s="1"/>
  <c r="H30" i="1"/>
  <c r="I30" i="1"/>
  <c r="J30" i="1"/>
  <c r="C45" i="2" l="1"/>
  <c r="G40" i="2" s="1"/>
  <c r="N36" i="1" s="1"/>
  <c r="N41" i="1" s="1"/>
  <c r="J42" i="1" s="1"/>
  <c r="J21" i="1"/>
  <c r="C42" i="3" s="1"/>
  <c r="T32" i="1"/>
  <c r="T34" i="1"/>
  <c r="V11" i="1"/>
  <c r="W11" i="1"/>
  <c r="T11" i="1"/>
  <c r="V22" i="2" s="1"/>
  <c r="V23" i="2" s="1"/>
  <c r="T25" i="2" s="1"/>
  <c r="U11" i="1" s="1"/>
  <c r="N37" i="1" l="1"/>
  <c r="N46" i="1" s="1"/>
  <c r="H39" i="1" s="1"/>
  <c r="I21" i="1"/>
  <c r="Q28" i="1" s="1"/>
  <c r="H36" i="1" s="1"/>
  <c r="C44" i="3"/>
  <c r="G44" i="3" s="1"/>
  <c r="G42" i="3"/>
  <c r="C43" i="3"/>
  <c r="G43" i="3" s="1"/>
  <c r="N28" i="1"/>
  <c r="C36" i="1" s="1"/>
  <c r="E36" i="1" s="1"/>
  <c r="T26" i="1" l="1"/>
  <c r="O30" i="1"/>
  <c r="O31" i="1"/>
  <c r="T22" i="1" l="1"/>
  <c r="D29" i="3" l="1"/>
</calcChain>
</file>

<file path=xl/sharedStrings.xml><?xml version="1.0" encoding="utf-8"?>
<sst xmlns="http://schemas.openxmlformats.org/spreadsheetml/2006/main" count="429" uniqueCount="267">
  <si>
    <t>Iznošenje hranjiva</t>
  </si>
  <si>
    <t>Pšenica</t>
  </si>
  <si>
    <t>Raž</t>
  </si>
  <si>
    <t>Ječam</t>
  </si>
  <si>
    <t>Ovas</t>
  </si>
  <si>
    <t>Kukuruz (zrno)</t>
  </si>
  <si>
    <t>Grašak</t>
  </si>
  <si>
    <t>Soja</t>
  </si>
  <si>
    <t>Stočni grašak (zrno)</t>
  </si>
  <si>
    <t>Lucerka (sijeno)</t>
  </si>
  <si>
    <t>Šećerna repa</t>
  </si>
  <si>
    <t>Krompir</t>
  </si>
  <si>
    <t>Uljana repica (zrno)</t>
  </si>
  <si>
    <t>Suncokret (zrno)</t>
  </si>
  <si>
    <t>Duvan</t>
  </si>
  <si>
    <t>Kukuruz (silaža)</t>
  </si>
  <si>
    <t>Sjemenska repa</t>
  </si>
  <si>
    <t>N</t>
  </si>
  <si>
    <t>P</t>
  </si>
  <si>
    <t>K</t>
  </si>
  <si>
    <t>4,0-5,5</t>
  </si>
  <si>
    <t>&lt;2</t>
  </si>
  <si>
    <t>2-4</t>
  </si>
  <si>
    <t>&gt;4</t>
  </si>
  <si>
    <t>5,6-8,0</t>
  </si>
  <si>
    <t>Fosfor</t>
  </si>
  <si>
    <t>0-5</t>
  </si>
  <si>
    <t>5-10</t>
  </si>
  <si>
    <t>10-15</t>
  </si>
  <si>
    <t>15-20</t>
  </si>
  <si>
    <t>20-30</t>
  </si>
  <si>
    <t>&gt;30</t>
  </si>
  <si>
    <t>Kalijum</t>
  </si>
  <si>
    <t>NPK Đubriva</t>
  </si>
  <si>
    <t>Startno</t>
  </si>
  <si>
    <t>Planiani prinos</t>
  </si>
  <si>
    <t>Iznošenje</t>
  </si>
  <si>
    <t>pH - Humus</t>
  </si>
  <si>
    <t>humus</t>
  </si>
  <si>
    <t>Vratiti azot</t>
  </si>
  <si>
    <t>Stajnjak</t>
  </si>
  <si>
    <t>3. godina</t>
  </si>
  <si>
    <t>2. godina</t>
  </si>
  <si>
    <t>1. godina</t>
  </si>
  <si>
    <r>
      <rPr>
        <b/>
        <sz val="16"/>
        <color theme="1"/>
        <rFont val="Times New Roman"/>
        <family val="1"/>
        <charset val="238"/>
      </rPr>
      <t xml:space="preserve">Prof. dr Ilija Komljenović </t>
    </r>
    <r>
      <rPr>
        <sz val="11"/>
        <color theme="1"/>
        <rFont val="Calibri"/>
        <family val="2"/>
        <charset val="238"/>
        <scheme val="minor"/>
      </rPr>
      <t xml:space="preserve">                        </t>
    </r>
    <r>
      <rPr>
        <b/>
        <sz val="12"/>
        <color theme="1"/>
        <rFont val="Times New Roman"/>
        <family val="1"/>
        <charset val="238"/>
      </rPr>
      <t xml:space="preserve">Poljoprivredni fakultet, Banja Luka  </t>
    </r>
    <r>
      <rPr>
        <sz val="12"/>
        <color theme="1"/>
        <rFont val="Times New Roman"/>
        <family val="1"/>
        <charset val="238"/>
      </rPr>
      <t>Katedra za ratarstvo                                  Bulavar vojvode Petra Bojovića 1a          Banja Luka</t>
    </r>
  </si>
  <si>
    <t>Prezime i ime vlasnika</t>
  </si>
  <si>
    <t>Naziv parcele</t>
  </si>
  <si>
    <t>Adresa vlasnika</t>
  </si>
  <si>
    <t>Vrsta usjeva</t>
  </si>
  <si>
    <t>Površina (ha)</t>
  </si>
  <si>
    <t>Planirani prinos t/ha</t>
  </si>
  <si>
    <t>Stajnjak (t/ha)</t>
  </si>
  <si>
    <t>pH (KCl)</t>
  </si>
  <si>
    <t>Humus %)</t>
  </si>
  <si>
    <t>NPK -osnovno đub.</t>
  </si>
  <si>
    <t>NPK-startno đub.</t>
  </si>
  <si>
    <t>Vratiti</t>
  </si>
  <si>
    <t>&lt;2,</t>
  </si>
  <si>
    <t>2-4,</t>
  </si>
  <si>
    <t>&gt;4,</t>
  </si>
  <si>
    <t>iz stnjaka</t>
  </si>
  <si>
    <t>Ukupno</t>
  </si>
  <si>
    <t>.0:13:16</t>
  </si>
  <si>
    <t>.0:15:25</t>
  </si>
  <si>
    <t>.0:20:30</t>
  </si>
  <si>
    <t>.5:10:20</t>
  </si>
  <si>
    <t>.5:15:30</t>
  </si>
  <si>
    <t>.7:20:30</t>
  </si>
  <si>
    <t>.7:14:18</t>
  </si>
  <si>
    <t>.8:12:16+3 MgO</t>
  </si>
  <si>
    <t>.8:16:24</t>
  </si>
  <si>
    <t>.10:12:16</t>
  </si>
  <si>
    <t>.10:20:30</t>
  </si>
  <si>
    <t>.10:30:20</t>
  </si>
  <si>
    <t>.12:30:16</t>
  </si>
  <si>
    <t>.15:15:15</t>
  </si>
  <si>
    <t>.10:10:10</t>
  </si>
  <si>
    <t>.14:14:14</t>
  </si>
  <si>
    <t>.16:16:16</t>
  </si>
  <si>
    <t>.17:17:17</t>
  </si>
  <si>
    <t>.20:15:12</t>
  </si>
  <si>
    <t>.3:11:20</t>
  </si>
  <si>
    <t>.11:11:16</t>
  </si>
  <si>
    <t>.17:13:10</t>
  </si>
  <si>
    <t>.Vratiti</t>
  </si>
  <si>
    <t>NPK</t>
  </si>
  <si>
    <t>NPK đurbivo</t>
  </si>
  <si>
    <t>NPK,Osno</t>
  </si>
  <si>
    <t xml:space="preserve">REZULTATI NORMIRANJA ĐUBRIVA </t>
  </si>
  <si>
    <t>Usjev:</t>
  </si>
  <si>
    <t>t/ha</t>
  </si>
  <si>
    <t>kg/ha</t>
  </si>
  <si>
    <t>Osnovno đubrenje</t>
  </si>
  <si>
    <t>Odnos K/P</t>
  </si>
  <si>
    <t xml:space="preserve">kg/ha </t>
  </si>
  <si>
    <t>startno</t>
  </si>
  <si>
    <t>Konačno</t>
  </si>
  <si>
    <t>Balans</t>
  </si>
  <si>
    <t xml:space="preserve">t/ha </t>
  </si>
  <si>
    <t>Startno đubrenje</t>
  </si>
  <si>
    <t>Prihrana</t>
  </si>
  <si>
    <t>KAN</t>
  </si>
  <si>
    <t>Urea</t>
  </si>
  <si>
    <t>kg/ha N</t>
  </si>
  <si>
    <t>N-đubrivo (kg/ha)</t>
  </si>
  <si>
    <t>Kontrtola</t>
  </si>
  <si>
    <r>
      <t>P</t>
    </r>
    <r>
      <rPr>
        <vertAlign val="subscript"/>
        <sz val="11"/>
        <color theme="1"/>
        <rFont val="Times New Roman"/>
        <family val="1"/>
        <charset val="238"/>
      </rPr>
      <t>2</t>
    </r>
    <r>
      <rPr>
        <sz val="11"/>
        <color theme="1"/>
        <rFont val="Times New Roman"/>
        <family val="1"/>
        <charset val="238"/>
      </rPr>
      <t>O</t>
    </r>
    <r>
      <rPr>
        <vertAlign val="subscript"/>
        <sz val="11"/>
        <color theme="1"/>
        <rFont val="Times New Roman"/>
        <family val="1"/>
        <charset val="238"/>
      </rPr>
      <t xml:space="preserve">5 </t>
    </r>
    <r>
      <rPr>
        <sz val="11"/>
        <color theme="1"/>
        <rFont val="Times New Roman"/>
        <family val="1"/>
        <charset val="238"/>
      </rPr>
      <t>(mg/100 g)</t>
    </r>
  </si>
  <si>
    <r>
      <t>K</t>
    </r>
    <r>
      <rPr>
        <vertAlign val="subscript"/>
        <sz val="11"/>
        <color theme="1"/>
        <rFont val="Times New Roman"/>
        <family val="1"/>
        <charset val="238"/>
      </rPr>
      <t>2</t>
    </r>
    <r>
      <rPr>
        <sz val="11"/>
        <color theme="1"/>
        <rFont val="Times New Roman"/>
        <family val="1"/>
        <charset val="238"/>
      </rPr>
      <t>O (mg/110 g)</t>
    </r>
  </si>
  <si>
    <t xml:space="preserve">Rekapitulacija đubrenja </t>
  </si>
  <si>
    <t>Osnovno đubenje</t>
  </si>
  <si>
    <t>Predsjetveno-startno</t>
  </si>
  <si>
    <t>ha (kg)</t>
  </si>
  <si>
    <t>ha (t)</t>
  </si>
  <si>
    <t>kg/ha , I i II prihrana</t>
  </si>
  <si>
    <t>Odnos P/K:</t>
  </si>
  <si>
    <t>Za soju primjeniti do 60 kg/ha azota</t>
  </si>
  <si>
    <t>N (kg/ha</t>
  </si>
  <si>
    <t>Urea kg/ha</t>
  </si>
  <si>
    <t>Žetv. ostaci (t/ha)</t>
  </si>
  <si>
    <t>Korekcija đubrenja</t>
  </si>
  <si>
    <t>Fosforna đubriva</t>
  </si>
  <si>
    <t>Kalijumova đubriva</t>
  </si>
  <si>
    <t>Jedinačna đurbiva</t>
  </si>
  <si>
    <t>Bez P-đubriva</t>
  </si>
  <si>
    <t>Superfosfat</t>
  </si>
  <si>
    <t>Tripleks</t>
  </si>
  <si>
    <t>Precipitat</t>
  </si>
  <si>
    <t>MAP</t>
  </si>
  <si>
    <t>Bez prih.</t>
  </si>
  <si>
    <t>Bez K-đubriva</t>
  </si>
  <si>
    <t>K-sol 60%</t>
  </si>
  <si>
    <t>K-sol 40%</t>
  </si>
  <si>
    <t>K-sulfat</t>
  </si>
  <si>
    <t>Mg-K-sulfat</t>
  </si>
  <si>
    <t>K-đubrivo</t>
  </si>
  <si>
    <t>P-đubrivo</t>
  </si>
  <si>
    <t>NAPOMENE</t>
  </si>
  <si>
    <t>ha</t>
  </si>
  <si>
    <t>Godina korišćenja</t>
  </si>
  <si>
    <t>t</t>
  </si>
  <si>
    <t>kg</t>
  </si>
  <si>
    <t>-</t>
  </si>
  <si>
    <t>Planirani prinos:</t>
  </si>
  <si>
    <r>
      <t>P</t>
    </r>
    <r>
      <rPr>
        <vertAlign val="subscript"/>
        <sz val="11"/>
        <color theme="1"/>
        <rFont val="Times New Roman"/>
        <family val="1"/>
        <charset val="238"/>
      </rPr>
      <t>2</t>
    </r>
    <r>
      <rPr>
        <sz val="11"/>
        <color theme="1"/>
        <rFont val="Times New Roman"/>
        <family val="1"/>
        <charset val="238"/>
      </rPr>
      <t>O</t>
    </r>
    <r>
      <rPr>
        <vertAlign val="subscript"/>
        <sz val="11"/>
        <color theme="1"/>
        <rFont val="Times New Roman"/>
        <family val="1"/>
        <charset val="238"/>
      </rPr>
      <t>5</t>
    </r>
    <r>
      <rPr>
        <sz val="11"/>
        <color theme="1"/>
        <rFont val="Times New Roman"/>
        <family val="1"/>
        <charset val="238"/>
      </rPr>
      <t xml:space="preserve"> (kg)</t>
    </r>
  </si>
  <si>
    <r>
      <t>K</t>
    </r>
    <r>
      <rPr>
        <vertAlign val="subscript"/>
        <sz val="11"/>
        <color theme="1"/>
        <rFont val="Times New Roman"/>
        <family val="1"/>
        <charset val="238"/>
      </rPr>
      <t>2</t>
    </r>
    <r>
      <rPr>
        <sz val="11"/>
        <color theme="1"/>
        <rFont val="Times New Roman"/>
        <family val="1"/>
        <charset val="238"/>
      </rPr>
      <t>O (kg)</t>
    </r>
  </si>
  <si>
    <r>
      <t xml:space="preserve">AL-KALKULATOR  </t>
    </r>
    <r>
      <rPr>
        <b/>
        <sz val="12"/>
        <color theme="1"/>
        <rFont val="Times New Roman"/>
        <family val="1"/>
        <charset val="238"/>
      </rPr>
      <t xml:space="preserve">Kalkulator đubriva za ratarske usjeve        </t>
    </r>
    <r>
      <rPr>
        <i/>
        <sz val="12"/>
        <color theme="1"/>
        <rFont val="Times New Roman"/>
        <family val="1"/>
        <charset val="238"/>
      </rPr>
      <t xml:space="preserve">Programirao: prof. dr Ilija Komljenović http://www.ilija.comuf.com </t>
    </r>
  </si>
  <si>
    <t>Iznošenje prinosom:</t>
  </si>
  <si>
    <t>Vratiti u zemljište:</t>
  </si>
  <si>
    <t xml:space="preserve">Stajnjak: </t>
  </si>
  <si>
    <t>I prihrana :</t>
  </si>
  <si>
    <t>II prihrana:</t>
  </si>
  <si>
    <t>Balans:</t>
  </si>
  <si>
    <t>Stajnjak:</t>
  </si>
  <si>
    <t>Ukupno hranjiva:</t>
  </si>
  <si>
    <t>Površina:</t>
  </si>
  <si>
    <t xml:space="preserve">Ukupno(t): </t>
  </si>
  <si>
    <t>Krastavac</t>
  </si>
  <si>
    <t>Malina</t>
  </si>
  <si>
    <t>azot</t>
  </si>
  <si>
    <t>Prihrana kg</t>
  </si>
  <si>
    <t>Bez</t>
  </si>
  <si>
    <t xml:space="preserve">Bez </t>
  </si>
  <si>
    <t>Dodati mineralna hranjiva (kg) ha</t>
  </si>
  <si>
    <t>Programirao: prof. dr Ilija Komljenović</t>
  </si>
  <si>
    <t>Izaberi K đubrivo</t>
  </si>
  <si>
    <t>Dodati K kg/ha</t>
  </si>
  <si>
    <r>
      <t>Podići na mg/100g K</t>
    </r>
    <r>
      <rPr>
        <vertAlign val="subscript"/>
        <sz val="11"/>
        <color theme="1"/>
        <rFont val="Times New Roman"/>
        <family val="1"/>
        <charset val="238"/>
      </rPr>
      <t/>
    </r>
  </si>
  <si>
    <t>Obrađeno zemljište (kg/ha)</t>
  </si>
  <si>
    <t>Dubina obrade (cm)</t>
  </si>
  <si>
    <r>
      <t>mg/100 g K</t>
    </r>
    <r>
      <rPr>
        <vertAlign val="subscript"/>
        <sz val="11"/>
        <color theme="1"/>
        <rFont val="Times New Roman"/>
        <family val="1"/>
        <charset val="238"/>
      </rPr>
      <t>2</t>
    </r>
    <r>
      <rPr>
        <sz val="11"/>
        <color theme="1"/>
        <rFont val="Times New Roman"/>
        <family val="1"/>
        <charset val="238"/>
      </rPr>
      <t>O</t>
    </r>
  </si>
  <si>
    <r>
      <t>Zmp (g/cm</t>
    </r>
    <r>
      <rPr>
        <vertAlign val="superscript"/>
        <sz val="11"/>
        <color theme="1"/>
        <rFont val="Times New Roman"/>
        <family val="1"/>
        <charset val="238"/>
      </rPr>
      <t>3</t>
    </r>
    <r>
      <rPr>
        <sz val="11"/>
        <color theme="1"/>
        <rFont val="Times New Roman"/>
        <family val="1"/>
        <charset val="238"/>
      </rPr>
      <t>)</t>
    </r>
  </si>
  <si>
    <t>KALIZACIJA</t>
  </si>
  <si>
    <t>Izaberi P đubrivo</t>
  </si>
  <si>
    <t>Dodati P kg/ha</t>
  </si>
  <si>
    <t>Podići na mg/100 g P</t>
  </si>
  <si>
    <r>
      <t>mg/100 g P</t>
    </r>
    <r>
      <rPr>
        <vertAlign val="subscript"/>
        <sz val="11"/>
        <color theme="1"/>
        <rFont val="Times New Roman"/>
        <family val="1"/>
        <charset val="238"/>
      </rPr>
      <t>2</t>
    </r>
    <r>
      <rPr>
        <sz val="11"/>
        <color theme="1"/>
        <rFont val="Times New Roman"/>
        <family val="1"/>
        <charset val="238"/>
      </rPr>
      <t>O</t>
    </r>
    <r>
      <rPr>
        <vertAlign val="subscript"/>
        <sz val="11"/>
        <color theme="1"/>
        <rFont val="Times New Roman"/>
        <family val="1"/>
        <charset val="238"/>
      </rPr>
      <t>5</t>
    </r>
  </si>
  <si>
    <t>FOSFATIZACIJA</t>
  </si>
  <si>
    <t>FOSFATIZACIJA I KALIZACIJA</t>
  </si>
  <si>
    <r>
      <t>Krečni materijal (CaCO</t>
    </r>
    <r>
      <rPr>
        <vertAlign val="subscript"/>
        <sz val="11"/>
        <color theme="1"/>
        <rFont val="Times New Roman"/>
        <family val="1"/>
        <charset val="238"/>
      </rPr>
      <t>3</t>
    </r>
    <r>
      <rPr>
        <sz val="11"/>
        <color theme="1"/>
        <rFont val="Times New Roman"/>
        <family val="1"/>
        <charset val="238"/>
      </rPr>
      <t>)</t>
    </r>
  </si>
  <si>
    <t>Krečni materijal (CaO)</t>
  </si>
  <si>
    <t>Dubina zemljišta</t>
  </si>
  <si>
    <r>
      <t>Hk cmol</t>
    </r>
    <r>
      <rPr>
        <vertAlign val="superscript"/>
        <sz val="11"/>
        <color theme="1"/>
        <rFont val="Times New Roman"/>
        <family val="1"/>
        <charset val="238"/>
      </rPr>
      <t>(+)</t>
    </r>
    <r>
      <rPr>
        <sz val="11"/>
        <color theme="1"/>
        <rFont val="Times New Roman"/>
        <family val="1"/>
        <charset val="238"/>
      </rPr>
      <t xml:space="preserve"> kg</t>
    </r>
    <r>
      <rPr>
        <vertAlign val="superscript"/>
        <sz val="11"/>
        <color theme="1"/>
        <rFont val="Times New Roman"/>
        <family val="1"/>
        <charset val="238"/>
      </rPr>
      <t>-ha</t>
    </r>
  </si>
  <si>
    <t>Kalcizacija (kg/ha)</t>
  </si>
  <si>
    <t>pH  traženi u KCl</t>
  </si>
  <si>
    <t>Tekstura zemljišta</t>
  </si>
  <si>
    <t>Sadržaj gline</t>
  </si>
  <si>
    <t>pH izmjereni u KCl</t>
  </si>
  <si>
    <t>PRORAČUN KREČNOG MATERIJALA ZA KALCIZACIJU</t>
  </si>
  <si>
    <t>Mg-K_sulfat</t>
  </si>
  <si>
    <t>Mg-K-Sulfat (kg/ha)</t>
  </si>
  <si>
    <t>K-sulfat (kg/ha)</t>
  </si>
  <si>
    <t>K-Sol (60%)</t>
  </si>
  <si>
    <t>K-sol (60%) kg/ha</t>
  </si>
  <si>
    <t>K-sol (40%)</t>
  </si>
  <si>
    <t>K-sol (40%) kg/ha</t>
  </si>
  <si>
    <t>Bez đubrenja</t>
  </si>
  <si>
    <t xml:space="preserve">Tomasfosfat (kg/ha) </t>
  </si>
  <si>
    <t>MAP (kg/ha)</t>
  </si>
  <si>
    <t>Tomas fosfat</t>
  </si>
  <si>
    <t>Precipitat (kg/ha)</t>
  </si>
  <si>
    <t>Tripleks (kg/ha)</t>
  </si>
  <si>
    <t>Superfosfat (kg/ha)</t>
  </si>
  <si>
    <t>Bez đubriva</t>
  </si>
  <si>
    <t>Super fosfat</t>
  </si>
  <si>
    <t>Stv</t>
  </si>
  <si>
    <t>,</t>
  </si>
  <si>
    <t xml:space="preserve">Glina </t>
  </si>
  <si>
    <t xml:space="preserve">&gt;25 </t>
  </si>
  <si>
    <t xml:space="preserve">Glinasta ilovaĉa  </t>
  </si>
  <si>
    <t xml:space="preserve">&gt;25  </t>
  </si>
  <si>
    <t xml:space="preserve">Praškasta ilovaĉa  </t>
  </si>
  <si>
    <t xml:space="preserve">16-25 </t>
  </si>
  <si>
    <t xml:space="preserve">Pjeskovita ilovaĉa  </t>
  </si>
  <si>
    <t xml:space="preserve"> 16-25 </t>
  </si>
  <si>
    <t xml:space="preserve">Ilovasta pjeskulja </t>
  </si>
  <si>
    <t xml:space="preserve"> 13-15  </t>
  </si>
  <si>
    <t xml:space="preserve">Ilovaĉa </t>
  </si>
  <si>
    <t xml:space="preserve">  6-12  </t>
  </si>
  <si>
    <t xml:space="preserve">Pjeskulja  </t>
  </si>
  <si>
    <t xml:space="preserve">&lt;6  </t>
  </si>
  <si>
    <t>Meliorativno đubrenje (kalcizacija, fosfatizacija i kalizacija)</t>
  </si>
  <si>
    <t>Ph traženi</t>
  </si>
  <si>
    <t>pH izmjereni</t>
  </si>
  <si>
    <t>Glina (%)</t>
  </si>
  <si>
    <t>Dubina oranja (cm)</t>
  </si>
  <si>
    <t>Tesksura</t>
  </si>
  <si>
    <t>Bez đub.</t>
  </si>
  <si>
    <t>Iz MAP-a</t>
  </si>
  <si>
    <t>Samo u prvoj godini nakon meliorativnog đubrenja MAP-om, smanjiti količinu azota za istu količinu koja je dodata ovim đubrivom.</t>
  </si>
  <si>
    <t>Smanjiti N za:</t>
  </si>
  <si>
    <t>Đubriti:</t>
  </si>
  <si>
    <t>UPOZORENJE!  (Pročitajte preporuku na  desnom panelu.)</t>
  </si>
  <si>
    <t>kg N</t>
  </si>
  <si>
    <t>odn. na:</t>
  </si>
  <si>
    <t>mg 100/g zem</t>
  </si>
  <si>
    <t>Dići na:</t>
  </si>
  <si>
    <t>Kalcizacija (krečni materijal) (kg/ha)</t>
  </si>
  <si>
    <r>
      <t>P</t>
    </r>
    <r>
      <rPr>
        <vertAlign val="subscript"/>
        <sz val="11"/>
        <color theme="1"/>
        <rFont val="Times New Roman"/>
        <family val="1"/>
        <charset val="238"/>
      </rPr>
      <t>2</t>
    </r>
    <r>
      <rPr>
        <sz val="11"/>
        <color theme="1"/>
        <rFont val="Times New Roman"/>
        <family val="1"/>
        <charset val="238"/>
      </rPr>
      <t>0</t>
    </r>
    <r>
      <rPr>
        <vertAlign val="subscript"/>
        <sz val="11"/>
        <color theme="1"/>
        <rFont val="Times New Roman"/>
        <family val="1"/>
        <charset val="238"/>
      </rPr>
      <t>5</t>
    </r>
  </si>
  <si>
    <t>Dodati P</t>
  </si>
  <si>
    <t>Dodati K</t>
  </si>
  <si>
    <t>Preporuka za đubrenje</t>
  </si>
  <si>
    <t>Opšti podaci</t>
  </si>
  <si>
    <r>
      <t>K</t>
    </r>
    <r>
      <rPr>
        <vertAlign val="subscript"/>
        <sz val="11"/>
        <color theme="1"/>
        <rFont val="Times New Roman"/>
        <family val="1"/>
        <charset val="238"/>
      </rPr>
      <t>2</t>
    </r>
    <r>
      <rPr>
        <sz val="11"/>
        <color theme="1"/>
        <rFont val="Times New Roman"/>
        <family val="1"/>
        <charset val="238"/>
      </rPr>
      <t>O</t>
    </r>
  </si>
  <si>
    <t>Fostatizacija (kg/ha )</t>
  </si>
  <si>
    <t>Kalizacija  (kg/ha)</t>
  </si>
  <si>
    <t>Datum:</t>
  </si>
  <si>
    <t>Cao</t>
  </si>
  <si>
    <t>Caco3</t>
  </si>
  <si>
    <t>Vlasnik:</t>
  </si>
  <si>
    <t>Adresa:</t>
  </si>
  <si>
    <t>Formulacija</t>
  </si>
  <si>
    <t>Ukupno:</t>
  </si>
  <si>
    <t>Raspored i količina mineralnih đubriva</t>
  </si>
  <si>
    <t>Površina parcele:</t>
  </si>
  <si>
    <r>
      <rPr>
        <b/>
        <sz val="14"/>
        <color theme="1"/>
        <rFont val="Times New Roman"/>
        <family val="1"/>
        <charset val="238"/>
      </rPr>
      <t xml:space="preserve">Poljoprivredni Fakultet </t>
    </r>
    <r>
      <rPr>
        <sz val="12"/>
        <color theme="1"/>
        <rFont val="Times New Roman"/>
        <family val="1"/>
        <charset val="238"/>
      </rPr>
      <t xml:space="preserve">            Bulevar Vojvode Petra Bojovića 1a                            Banja Luka                                                     Katedra za ratarstvo</t>
    </r>
  </si>
  <si>
    <t>Vrsta đubriva</t>
  </si>
  <si>
    <t>Ukupno na</t>
  </si>
  <si>
    <t>Mik.bio.razgradnja žetv.ostat.</t>
  </si>
  <si>
    <t>Startno đubrenje (jesen)</t>
  </si>
  <si>
    <t>Prihrana (proljeće)</t>
  </si>
  <si>
    <t>Potrebna hranjiva za planirani prinos iznose (kg/ha) :</t>
  </si>
  <si>
    <r>
      <t>P</t>
    </r>
    <r>
      <rPr>
        <b/>
        <vertAlign val="subscript"/>
        <sz val="11"/>
        <color theme="1"/>
        <rFont val="Times New Roman"/>
        <family val="1"/>
        <charset val="238"/>
      </rPr>
      <t>2</t>
    </r>
    <r>
      <rPr>
        <b/>
        <sz val="11"/>
        <color theme="1"/>
        <rFont val="Times New Roman"/>
        <family val="1"/>
        <charset val="238"/>
      </rPr>
      <t>O</t>
    </r>
    <r>
      <rPr>
        <b/>
        <vertAlign val="subscript"/>
        <sz val="11"/>
        <color theme="1"/>
        <rFont val="Times New Roman"/>
        <family val="1"/>
        <charset val="238"/>
      </rPr>
      <t>5</t>
    </r>
  </si>
  <si>
    <r>
      <t>K</t>
    </r>
    <r>
      <rPr>
        <b/>
        <vertAlign val="subscript"/>
        <sz val="11"/>
        <color theme="1"/>
        <rFont val="Times New Roman"/>
        <family val="1"/>
        <charset val="238"/>
      </rPr>
      <t>2</t>
    </r>
    <r>
      <rPr>
        <b/>
        <sz val="11"/>
        <color theme="1"/>
        <rFont val="Times New Roman"/>
        <family val="1"/>
        <charset val="238"/>
      </rPr>
      <t>O</t>
    </r>
  </si>
  <si>
    <t>II prihrana</t>
  </si>
  <si>
    <t>I prihana</t>
  </si>
  <si>
    <t>Naziv parcele:</t>
  </si>
  <si>
    <t>Vrsta usjeva: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</si>
</sst>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22"/>
      <color theme="1"/>
      <name val="Times New Roman"/>
      <family val="1"/>
      <charset val="238"/>
    </font>
    <font>
      <i/>
      <sz val="12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sz val="11"/>
      <color theme="0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vertAlign val="subscript"/>
      <sz val="11"/>
      <color theme="1"/>
      <name val="Times New Roman"/>
      <family val="1"/>
      <charset val="238"/>
    </font>
    <font>
      <sz val="10"/>
      <color rgb="FFC00000"/>
      <name val="Times New Roman"/>
      <family val="1"/>
      <charset val="238"/>
    </font>
    <font>
      <b/>
      <sz val="11"/>
      <color rgb="FFC00000"/>
      <name val="Times New Roman"/>
      <family val="1"/>
      <charset val="238"/>
    </font>
    <font>
      <sz val="12"/>
      <color theme="1"/>
      <name val="Calibri"/>
      <family val="2"/>
      <charset val="238"/>
      <scheme val="minor"/>
    </font>
    <font>
      <b/>
      <sz val="12"/>
      <color rgb="FFC00000"/>
      <name val="Times New Roman"/>
      <family val="1"/>
      <charset val="238"/>
    </font>
    <font>
      <sz val="14"/>
      <color theme="1"/>
      <name val="Calibri"/>
      <family val="2"/>
      <charset val="238"/>
      <scheme val="minor"/>
    </font>
    <font>
      <i/>
      <sz val="11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  <font>
      <sz val="11"/>
      <color rgb="FFC00000"/>
      <name val="Times New Roman"/>
      <family val="1"/>
      <charset val="238"/>
    </font>
    <font>
      <sz val="11"/>
      <name val="Times New Roman"/>
      <family val="1"/>
      <charset val="238"/>
    </font>
    <font>
      <sz val="11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C00000"/>
      <name val="Calibri"/>
      <family val="2"/>
      <charset val="238"/>
      <scheme val="minor"/>
    </font>
    <font>
      <vertAlign val="superscript"/>
      <sz val="11"/>
      <color theme="1"/>
      <name val="Times New Roman"/>
      <family val="1"/>
      <charset val="238"/>
    </font>
    <font>
      <sz val="11"/>
      <color theme="4" tint="-0.249977111117893"/>
      <name val="Calibri"/>
      <family val="2"/>
      <charset val="238"/>
      <scheme val="minor"/>
    </font>
    <font>
      <b/>
      <sz val="11"/>
      <color theme="0"/>
      <name val="Times New Roman"/>
      <family val="1"/>
      <charset val="238"/>
    </font>
    <font>
      <sz val="12"/>
      <color rgb="FFC00000"/>
      <name val="Times New Roman"/>
      <family val="1"/>
      <charset val="238"/>
    </font>
    <font>
      <b/>
      <sz val="10"/>
      <color theme="4" tint="-0.499984740745262"/>
      <name val="Times New Roman"/>
      <family val="1"/>
      <charset val="238"/>
    </font>
    <font>
      <sz val="10"/>
      <color theme="4" tint="-0.499984740745262"/>
      <name val="Calibri"/>
      <family val="2"/>
      <charset val="238"/>
      <scheme val="minor"/>
    </font>
    <font>
      <b/>
      <i/>
      <sz val="11"/>
      <color theme="1"/>
      <name val="Times New Roman"/>
      <family val="1"/>
      <charset val="238"/>
    </font>
    <font>
      <b/>
      <i/>
      <sz val="11"/>
      <color theme="1"/>
      <name val="Calibri"/>
      <family val="2"/>
      <charset val="238"/>
      <scheme val="minor"/>
    </font>
    <font>
      <b/>
      <vertAlign val="subscript"/>
      <sz val="11"/>
      <color theme="1"/>
      <name val="Times New Roman"/>
      <family val="1"/>
      <charset val="238"/>
    </font>
  </fonts>
  <fills count="8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0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/>
      <bottom style="dashDotDot">
        <color auto="1"/>
      </bottom>
      <diagonal/>
    </border>
    <border>
      <left/>
      <right/>
      <top/>
      <bottom style="dashed">
        <color auto="1"/>
      </bottom>
      <diagonal/>
    </border>
    <border>
      <left/>
      <right/>
      <top style="dashed">
        <color auto="1"/>
      </top>
      <bottom/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ashed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/>
      <top style="thin">
        <color auto="1"/>
      </top>
      <bottom/>
      <diagonal/>
    </border>
    <border>
      <left/>
      <right style="thin">
        <color theme="0" tint="-0.24994659260841701"/>
      </right>
      <top style="thin">
        <color auto="1"/>
      </top>
      <bottom/>
      <diagonal/>
    </border>
    <border>
      <left style="thin">
        <color theme="0" tint="-0.24994659260841701"/>
      </left>
      <right/>
      <top/>
      <bottom/>
      <diagonal/>
    </border>
    <border>
      <left style="thin">
        <color theme="0" tint="-0.24994659260841701"/>
      </left>
      <right/>
      <top/>
      <bottom style="dashed">
        <color auto="1"/>
      </bottom>
      <diagonal/>
    </border>
    <border>
      <left/>
      <right style="thin">
        <color theme="0" tint="-0.24994659260841701"/>
      </right>
      <top/>
      <bottom style="dashed">
        <color auto="1"/>
      </bottom>
      <diagonal/>
    </border>
    <border>
      <left style="thin">
        <color theme="0" tint="-0.24994659260841701"/>
      </left>
      <right/>
      <top style="dashed">
        <color auto="1"/>
      </top>
      <bottom/>
      <diagonal/>
    </border>
    <border>
      <left/>
      <right style="thin">
        <color theme="0" tint="-0.24994659260841701"/>
      </right>
      <top style="dashed">
        <color auto="1"/>
      </top>
      <bottom/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/>
      <right style="thin">
        <color theme="0" tint="-0.24994659260841701"/>
      </right>
      <top/>
      <bottom style="thin">
        <color theme="0" tint="-0.24994659260841701"/>
      </bottom>
      <diagonal/>
    </border>
    <border>
      <left style="hair">
        <color auto="1"/>
      </left>
      <right style="hair">
        <color auto="1"/>
      </right>
      <top/>
      <bottom style="thin">
        <color theme="0" tint="-0.24994659260841701"/>
      </bottom>
      <diagonal/>
    </border>
    <border>
      <left/>
      <right style="hair">
        <color auto="1"/>
      </right>
      <top/>
      <bottom/>
      <diagonal/>
    </border>
    <border>
      <left style="thin">
        <color theme="0" tint="-0.24994659260841701"/>
      </left>
      <right/>
      <top style="thin">
        <color theme="0" tint="-0.24994659260841701"/>
      </top>
      <bottom/>
      <diagonal/>
    </border>
    <border>
      <left/>
      <right/>
      <top style="thin">
        <color theme="0" tint="-0.24994659260841701"/>
      </top>
      <bottom/>
      <diagonal/>
    </border>
    <border>
      <left/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auto="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24994659260841701"/>
      </right>
      <top/>
      <bottom style="thin">
        <color theme="0" tint="-0.14996795556505021"/>
      </bottom>
      <diagonal/>
    </border>
    <border>
      <left/>
      <right/>
      <top style="dashed">
        <color auto="1"/>
      </top>
      <bottom style="dashed">
        <color auto="1"/>
      </bottom>
      <diagonal/>
    </border>
    <border>
      <left/>
      <right style="dashed">
        <color auto="1"/>
      </right>
      <top style="dashed">
        <color auto="1"/>
      </top>
      <bottom style="dashed">
        <color auto="1"/>
      </bottom>
      <diagonal/>
    </border>
    <border>
      <left/>
      <right/>
      <top/>
      <bottom style="thin">
        <color theme="0"/>
      </bottom>
      <diagonal/>
    </border>
    <border>
      <left style="thin">
        <color theme="0" tint="-0.2499465926084170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thin">
        <color theme="7" tint="-0.24994659260841701"/>
      </left>
      <right/>
      <top/>
      <bottom/>
      <diagonal/>
    </border>
    <border>
      <left/>
      <right style="thin">
        <color theme="7" tint="-0.24994659260841701"/>
      </right>
      <top/>
      <bottom/>
      <diagonal/>
    </border>
    <border>
      <left style="thin">
        <color theme="7" tint="-0.24994659260841701"/>
      </left>
      <right/>
      <top/>
      <bottom style="thin">
        <color theme="7" tint="-0.24994659260841701"/>
      </bottom>
      <diagonal/>
    </border>
    <border>
      <left/>
      <right/>
      <top/>
      <bottom style="thin">
        <color theme="7" tint="-0.24994659260841701"/>
      </bottom>
      <diagonal/>
    </border>
    <border>
      <left/>
      <right style="thin">
        <color theme="7" tint="-0.24994659260841701"/>
      </right>
      <top/>
      <bottom style="thin">
        <color theme="7" tint="-0.24994659260841701"/>
      </bottom>
      <diagonal/>
    </border>
    <border>
      <left/>
      <right style="thin">
        <color theme="0" tint="-0.1499679555650502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theme="0"/>
      </right>
      <top style="thin">
        <color auto="1"/>
      </top>
      <bottom style="thin">
        <color theme="0"/>
      </bottom>
      <diagonal/>
    </border>
    <border>
      <left style="thin">
        <color theme="0"/>
      </left>
      <right style="thin">
        <color auto="1"/>
      </right>
      <top style="thin">
        <color auto="1"/>
      </top>
      <bottom style="thin">
        <color theme="0"/>
      </bottom>
      <diagonal/>
    </border>
    <border>
      <left style="thin">
        <color auto="1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7" tint="-0.24994659260841701"/>
      </left>
      <right/>
      <top style="thin">
        <color theme="0" tint="-0.24994659260841701"/>
      </top>
      <bottom/>
      <diagonal/>
    </border>
    <border>
      <left/>
      <right style="thin">
        <color theme="7" tint="-0.24994659260841701"/>
      </right>
      <top style="thin">
        <color theme="0" tint="-0.24994659260841701"/>
      </top>
      <bottom/>
      <diagonal/>
    </border>
    <border>
      <left style="hair">
        <color auto="1"/>
      </left>
      <right/>
      <top/>
      <bottom/>
      <diagonal/>
    </border>
    <border>
      <left/>
      <right style="medium">
        <color theme="0" tint="-0.24994659260841701"/>
      </right>
      <top style="medium">
        <color theme="0" tint="-0.24994659260841701"/>
      </top>
      <bottom style="medium">
        <color theme="0" tint="-0.24994659260841701"/>
      </bottom>
      <diagonal/>
    </border>
    <border>
      <left style="medium">
        <color theme="0" tint="-0.24994659260841701"/>
      </left>
      <right/>
      <top style="medium">
        <color theme="0" tint="-0.24994659260841701"/>
      </top>
      <bottom style="medium">
        <color theme="0" tint="-0.24994659260841701"/>
      </bottom>
      <diagonal/>
    </border>
    <border>
      <left/>
      <right style="medium">
        <color theme="0" tint="-0.24994659260841701"/>
      </right>
      <top/>
      <bottom/>
      <diagonal/>
    </border>
    <border>
      <left style="medium">
        <color theme="0" tint="-0.24994659260841701"/>
      </left>
      <right/>
      <top/>
      <bottom/>
      <diagonal/>
    </border>
    <border>
      <left/>
      <right style="medium">
        <color theme="0" tint="-0.24994659260841701"/>
      </right>
      <top style="medium">
        <color theme="0" tint="-0.24994659260841701"/>
      </top>
      <bottom/>
      <diagonal/>
    </border>
    <border>
      <left style="medium">
        <color theme="0" tint="-0.24994659260841701"/>
      </left>
      <right/>
      <top style="medium">
        <color theme="0" tint="-0.24994659260841701"/>
      </top>
      <bottom/>
      <diagonal/>
    </border>
    <border>
      <left/>
      <right style="medium">
        <color theme="0" tint="-0.34998626667073579"/>
      </right>
      <top style="medium">
        <color theme="0" tint="-0.24994659260841701"/>
      </top>
      <bottom style="medium">
        <color theme="0" tint="-0.24994659260841701"/>
      </bottom>
      <diagonal/>
    </border>
    <border>
      <left style="medium">
        <color theme="0" tint="-0.34998626667073579"/>
      </left>
      <right/>
      <top style="medium">
        <color theme="0" tint="-0.24994659260841701"/>
      </top>
      <bottom style="medium">
        <color theme="0" tint="-0.24994659260841701"/>
      </bottom>
      <diagonal/>
    </border>
    <border>
      <left/>
      <right style="medium">
        <color theme="0" tint="-0.34998626667073579"/>
      </right>
      <top/>
      <bottom/>
      <diagonal/>
    </border>
    <border>
      <left style="medium">
        <color theme="0" tint="-0.34998626667073579"/>
      </left>
      <right/>
      <top/>
      <bottom/>
      <diagonal/>
    </border>
    <border>
      <left/>
      <right style="medium">
        <color theme="0" tint="-0.34998626667073579"/>
      </right>
      <top style="medium">
        <color theme="0" tint="-0.34998626667073579"/>
      </top>
      <bottom/>
      <diagonal/>
    </border>
    <border>
      <left style="medium">
        <color theme="0" tint="-0.34998626667073579"/>
      </left>
      <right/>
      <top style="medium">
        <color theme="0" tint="-0.34998626667073579"/>
      </top>
      <bottom/>
      <diagonal/>
    </border>
    <border>
      <left/>
      <right style="thin">
        <color theme="6" tint="0.39994506668294322"/>
      </right>
      <top/>
      <bottom style="thin">
        <color theme="6" tint="0.39994506668294322"/>
      </bottom>
      <diagonal/>
    </border>
    <border>
      <left/>
      <right/>
      <top/>
      <bottom style="thin">
        <color theme="6" tint="0.39994506668294322"/>
      </bottom>
      <diagonal/>
    </border>
    <border>
      <left style="thin">
        <color theme="6" tint="0.39994506668294322"/>
      </left>
      <right/>
      <top/>
      <bottom style="thin">
        <color theme="6" tint="0.39994506668294322"/>
      </bottom>
      <diagonal/>
    </border>
    <border>
      <left/>
      <right style="thin">
        <color theme="6" tint="0.39994506668294322"/>
      </right>
      <top/>
      <bottom/>
      <diagonal/>
    </border>
    <border>
      <left style="thin">
        <color theme="6" tint="0.39994506668294322"/>
      </left>
      <right/>
      <top/>
      <bottom/>
      <diagonal/>
    </border>
    <border>
      <left/>
      <right style="thin">
        <color theme="6" tint="0.39994506668294322"/>
      </right>
      <top style="thin">
        <color theme="6" tint="0.39994506668294322"/>
      </top>
      <bottom/>
      <diagonal/>
    </border>
    <border>
      <left/>
      <right/>
      <top style="thin">
        <color theme="6" tint="0.39994506668294322"/>
      </top>
      <bottom/>
      <diagonal/>
    </border>
    <border>
      <left style="thin">
        <color theme="6" tint="0.39994506668294322"/>
      </left>
      <right/>
      <top style="thin">
        <color theme="6" tint="0.39994506668294322"/>
      </top>
      <bottom/>
      <diagonal/>
    </border>
    <border>
      <left/>
      <right style="medium">
        <color theme="2" tint="-0.24994659260841701"/>
      </right>
      <top style="medium">
        <color theme="0" tint="-0.24994659260841701"/>
      </top>
      <bottom style="medium">
        <color theme="0" tint="-0.24994659260841701"/>
      </bottom>
      <diagonal/>
    </border>
    <border>
      <left style="medium">
        <color theme="2" tint="-0.24994659260841701"/>
      </left>
      <right/>
      <top style="medium">
        <color theme="0" tint="-0.24994659260841701"/>
      </top>
      <bottom style="medium">
        <color theme="0" tint="-0.24994659260841701"/>
      </bottom>
      <diagonal/>
    </border>
    <border>
      <left/>
      <right style="medium">
        <color theme="2" tint="-0.24994659260841701"/>
      </right>
      <top/>
      <bottom/>
      <diagonal/>
    </border>
    <border>
      <left style="medium">
        <color theme="2" tint="-0.24994659260841701"/>
      </left>
      <right/>
      <top/>
      <bottom/>
      <diagonal/>
    </border>
    <border>
      <left/>
      <right style="medium">
        <color theme="2" tint="-0.24994659260841701"/>
      </right>
      <top style="medium">
        <color theme="2" tint="-0.24994659260841701"/>
      </top>
      <bottom/>
      <diagonal/>
    </border>
    <border>
      <left/>
      <right/>
      <top style="medium">
        <color theme="2" tint="-0.24994659260841701"/>
      </top>
      <bottom/>
      <diagonal/>
    </border>
    <border>
      <left style="medium">
        <color theme="2" tint="-0.24994659260841701"/>
      </left>
      <right/>
      <top style="medium">
        <color theme="2" tint="-0.24994659260841701"/>
      </top>
      <bottom/>
      <diagonal/>
    </border>
    <border>
      <left style="thin">
        <color auto="1"/>
      </left>
      <right/>
      <top style="thin">
        <color theme="0" tint="-0.14996795556505021"/>
      </top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24994659260841701"/>
      </right>
      <top style="thin">
        <color theme="0" tint="-0.14996795556505021"/>
      </top>
      <bottom/>
      <diagonal/>
    </border>
  </borders>
  <cellStyleXfs count="1">
    <xf numFmtId="0" fontId="0" fillId="0" borderId="0"/>
  </cellStyleXfs>
  <cellXfs count="36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49" fontId="0" fillId="0" borderId="4" xfId="0" applyNumberFormat="1" applyBorder="1"/>
    <xf numFmtId="49" fontId="0" fillId="0" borderId="6" xfId="0" applyNumberFormat="1" applyBorder="1"/>
    <xf numFmtId="9" fontId="0" fillId="0" borderId="5" xfId="0" applyNumberFormat="1" applyBorder="1"/>
    <xf numFmtId="9" fontId="0" fillId="0" borderId="8" xfId="0" applyNumberFormat="1" applyBorder="1"/>
    <xf numFmtId="21" fontId="0" fillId="0" borderId="1" xfId="0" applyNumberFormat="1" applyBorder="1"/>
    <xf numFmtId="21" fontId="0" fillId="0" borderId="4" xfId="0" applyNumberFormat="1" applyBorder="1"/>
    <xf numFmtId="21" fontId="0" fillId="0" borderId="6" xfId="0" applyNumberFormat="1" applyBorder="1"/>
    <xf numFmtId="9" fontId="0" fillId="0" borderId="0" xfId="0" applyNumberFormat="1"/>
    <xf numFmtId="9" fontId="0" fillId="0" borderId="2" xfId="0" applyNumberFormat="1" applyBorder="1"/>
    <xf numFmtId="9" fontId="0" fillId="0" borderId="0" xfId="0" applyNumberFormat="1" applyBorder="1"/>
    <xf numFmtId="9" fontId="0" fillId="0" borderId="7" xfId="0" applyNumberFormat="1" applyBorder="1"/>
    <xf numFmtId="9" fontId="0" fillId="0" borderId="3" xfId="0" applyNumberFormat="1" applyBorder="1"/>
    <xf numFmtId="49" fontId="0" fillId="0" borderId="0" xfId="0" applyNumberFormat="1" applyFill="1" applyBorder="1"/>
    <xf numFmtId="0" fontId="0" fillId="2" borderId="9" xfId="0" applyFill="1" applyBorder="1"/>
    <xf numFmtId="0" fontId="0" fillId="2" borderId="10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0" xfId="0" applyNumberFormat="1" applyFill="1" applyBorder="1"/>
    <xf numFmtId="0" fontId="0" fillId="0" borderId="0" xfId="0" applyNumberFormat="1"/>
    <xf numFmtId="0" fontId="0" fillId="0" borderId="18" xfId="0" applyBorder="1"/>
    <xf numFmtId="49" fontId="0" fillId="2" borderId="9" xfId="0" applyNumberFormat="1" applyFill="1" applyBorder="1"/>
    <xf numFmtId="2" fontId="0" fillId="0" borderId="0" xfId="0" applyNumberFormat="1"/>
    <xf numFmtId="1" fontId="0" fillId="0" borderId="0" xfId="0" applyNumberFormat="1"/>
    <xf numFmtId="0" fontId="9" fillId="4" borderId="20" xfId="0" applyFont="1" applyFill="1" applyBorder="1"/>
    <xf numFmtId="0" fontId="9" fillId="4" borderId="0" xfId="0" applyFont="1" applyFill="1" applyBorder="1"/>
    <xf numFmtId="0" fontId="9" fillId="0" borderId="24" xfId="0" applyFont="1" applyFill="1" applyBorder="1" applyAlignment="1">
      <alignment horizontal="center"/>
    </xf>
    <xf numFmtId="0" fontId="9" fillId="4" borderId="19" xfId="0" applyFont="1" applyFill="1" applyBorder="1"/>
    <xf numFmtId="0" fontId="9" fillId="4" borderId="0" xfId="0" applyFont="1" applyFill="1" applyBorder="1" applyAlignment="1">
      <alignment horizontal="center" vertical="center"/>
    </xf>
    <xf numFmtId="1" fontId="9" fillId="0" borderId="21" xfId="0" applyNumberFormat="1" applyFont="1" applyFill="1" applyBorder="1" applyAlignment="1">
      <alignment horizontal="center"/>
    </xf>
    <xf numFmtId="0" fontId="9" fillId="0" borderId="21" xfId="0" applyFont="1" applyFill="1" applyBorder="1" applyAlignment="1">
      <alignment horizontal="center"/>
    </xf>
    <xf numFmtId="0" fontId="9" fillId="4" borderId="0" xfId="0" applyFont="1" applyFill="1" applyBorder="1" applyAlignment="1">
      <alignment horizontal="center"/>
    </xf>
    <xf numFmtId="0" fontId="9" fillId="4" borderId="0" xfId="0" applyFont="1" applyFill="1" applyBorder="1" applyAlignment="1"/>
    <xf numFmtId="0" fontId="0" fillId="5" borderId="0" xfId="0" applyFill="1"/>
    <xf numFmtId="0" fontId="0" fillId="5" borderId="25" xfId="0" applyFill="1" applyBorder="1"/>
    <xf numFmtId="0" fontId="9" fillId="5" borderId="25" xfId="0" applyFont="1" applyFill="1" applyBorder="1"/>
    <xf numFmtId="0" fontId="9" fillId="5" borderId="0" xfId="0" applyFont="1" applyFill="1" applyBorder="1"/>
    <xf numFmtId="0" fontId="9" fillId="6" borderId="4" xfId="0" applyFont="1" applyFill="1" applyBorder="1"/>
    <xf numFmtId="0" fontId="9" fillId="6" borderId="0" xfId="0" applyFont="1" applyFill="1" applyBorder="1"/>
    <xf numFmtId="0" fontId="0" fillId="6" borderId="4" xfId="0" applyFill="1" applyBorder="1"/>
    <xf numFmtId="0" fontId="0" fillId="6" borderId="0" xfId="0" applyFill="1" applyBorder="1"/>
    <xf numFmtId="0" fontId="9" fillId="6" borderId="0" xfId="0" applyFont="1" applyFill="1" applyBorder="1" applyAlignment="1">
      <alignment horizontal="center"/>
    </xf>
    <xf numFmtId="0" fontId="9" fillId="6" borderId="0" xfId="0" applyFont="1" applyFill="1" applyBorder="1" applyAlignment="1">
      <alignment horizontal="left"/>
    </xf>
    <xf numFmtId="1" fontId="10" fillId="0" borderId="21" xfId="0" applyNumberFormat="1" applyFont="1" applyFill="1" applyBorder="1" applyAlignment="1">
      <alignment horizontal="center"/>
    </xf>
    <xf numFmtId="1" fontId="4" fillId="0" borderId="21" xfId="0" applyNumberFormat="1" applyFont="1" applyFill="1" applyBorder="1" applyAlignment="1">
      <alignment horizontal="center"/>
    </xf>
    <xf numFmtId="0" fontId="0" fillId="6" borderId="0" xfId="0" applyFill="1" applyBorder="1" applyAlignment="1">
      <alignment horizontal="left"/>
    </xf>
    <xf numFmtId="1" fontId="10" fillId="4" borderId="0" xfId="0" applyNumberFormat="1" applyFont="1" applyFill="1" applyBorder="1" applyAlignment="1">
      <alignment horizontal="center"/>
    </xf>
    <xf numFmtId="0" fontId="9" fillId="4" borderId="26" xfId="0" applyFont="1" applyFill="1" applyBorder="1"/>
    <xf numFmtId="0" fontId="9" fillId="6" borderId="26" xfId="0" applyFont="1" applyFill="1" applyBorder="1"/>
    <xf numFmtId="0" fontId="0" fillId="6" borderId="26" xfId="0" applyFill="1" applyBorder="1"/>
    <xf numFmtId="0" fontId="9" fillId="4" borderId="32" xfId="0" applyFont="1" applyFill="1" applyBorder="1"/>
    <xf numFmtId="0" fontId="9" fillId="4" borderId="29" xfId="0" applyFont="1" applyFill="1" applyBorder="1"/>
    <xf numFmtId="0" fontId="9" fillId="4" borderId="31" xfId="0" applyFont="1" applyFill="1" applyBorder="1"/>
    <xf numFmtId="0" fontId="9" fillId="4" borderId="30" xfId="0" applyFont="1" applyFill="1" applyBorder="1"/>
    <xf numFmtId="0" fontId="9" fillId="4" borderId="33" xfId="0" applyFont="1" applyFill="1" applyBorder="1"/>
    <xf numFmtId="0" fontId="9" fillId="4" borderId="29" xfId="0" applyFont="1" applyFill="1" applyBorder="1" applyAlignment="1"/>
    <xf numFmtId="0" fontId="9" fillId="4" borderId="35" xfId="0" applyFont="1" applyFill="1" applyBorder="1"/>
    <xf numFmtId="0" fontId="9" fillId="4" borderId="36" xfId="0" applyFont="1" applyFill="1" applyBorder="1"/>
    <xf numFmtId="0" fontId="9" fillId="5" borderId="37" xfId="0" applyFont="1" applyFill="1" applyBorder="1"/>
    <xf numFmtId="0" fontId="9" fillId="5" borderId="38" xfId="0" applyFont="1" applyFill="1" applyBorder="1"/>
    <xf numFmtId="0" fontId="0" fillId="6" borderId="39" xfId="0" applyFill="1" applyBorder="1"/>
    <xf numFmtId="0" fontId="0" fillId="6" borderId="40" xfId="0" applyFill="1" applyBorder="1"/>
    <xf numFmtId="0" fontId="10" fillId="6" borderId="40" xfId="0" applyFont="1" applyFill="1" applyBorder="1" applyAlignment="1">
      <alignment horizontal="center"/>
    </xf>
    <xf numFmtId="0" fontId="1" fillId="6" borderId="40" xfId="0" applyFont="1" applyFill="1" applyBorder="1" applyAlignment="1">
      <alignment horizontal="center"/>
    </xf>
    <xf numFmtId="0" fontId="0" fillId="6" borderId="41" xfId="0" applyFill="1" applyBorder="1"/>
    <xf numFmtId="0" fontId="0" fillId="6" borderId="42" xfId="0" applyFill="1" applyBorder="1"/>
    <xf numFmtId="0" fontId="0" fillId="6" borderId="43" xfId="0" applyFill="1" applyBorder="1"/>
    <xf numFmtId="0" fontId="0" fillId="6" borderId="44" xfId="0" applyFill="1" applyBorder="1"/>
    <xf numFmtId="0" fontId="9" fillId="4" borderId="29" xfId="0" applyNumberFormat="1" applyFont="1" applyFill="1" applyBorder="1"/>
    <xf numFmtId="0" fontId="10" fillId="0" borderId="21" xfId="0" applyFont="1" applyFill="1" applyBorder="1" applyAlignment="1">
      <alignment horizontal="center"/>
    </xf>
    <xf numFmtId="2" fontId="9" fillId="0" borderId="21" xfId="0" applyNumberFormat="1" applyFont="1" applyFill="1" applyBorder="1" applyAlignment="1">
      <alignment horizontal="center"/>
    </xf>
    <xf numFmtId="0" fontId="8" fillId="0" borderId="47" xfId="0" applyFont="1" applyBorder="1"/>
    <xf numFmtId="0" fontId="0" fillId="0" borderId="47" xfId="0" applyBorder="1"/>
    <xf numFmtId="10" fontId="0" fillId="0" borderId="0" xfId="0" applyNumberFormat="1"/>
    <xf numFmtId="0" fontId="0" fillId="4" borderId="29" xfId="0" applyFill="1" applyBorder="1" applyAlignment="1">
      <alignment horizontal="center" vertical="center"/>
    </xf>
    <xf numFmtId="0" fontId="0" fillId="4" borderId="0" xfId="0" applyFill="1" applyBorder="1" applyAlignment="1">
      <alignment horizontal="center" vertical="center"/>
    </xf>
    <xf numFmtId="0" fontId="0" fillId="4" borderId="0" xfId="0" applyFill="1" applyBorder="1"/>
    <xf numFmtId="0" fontId="0" fillId="4" borderId="26" xfId="0" applyFill="1" applyBorder="1"/>
    <xf numFmtId="0" fontId="0" fillId="4" borderId="34" xfId="0" applyFill="1" applyBorder="1"/>
    <xf numFmtId="0" fontId="0" fillId="4" borderId="35" xfId="0" applyFill="1" applyBorder="1"/>
    <xf numFmtId="0" fontId="0" fillId="4" borderId="36" xfId="0" applyFill="1" applyBorder="1"/>
    <xf numFmtId="0" fontId="0" fillId="0" borderId="48" xfId="0" applyFill="1" applyBorder="1" applyAlignment="1">
      <alignment horizontal="center"/>
    </xf>
    <xf numFmtId="0" fontId="0" fillId="0" borderId="21" xfId="0" applyFill="1" applyBorder="1" applyAlignment="1">
      <alignment horizontal="center"/>
    </xf>
    <xf numFmtId="0" fontId="0" fillId="6" borderId="49" xfId="0" applyFill="1" applyBorder="1"/>
    <xf numFmtId="0" fontId="0" fillId="6" borderId="50" xfId="0" applyFill="1" applyBorder="1"/>
    <xf numFmtId="1" fontId="8" fillId="6" borderId="49" xfId="0" applyNumberFormat="1" applyFont="1" applyFill="1" applyBorder="1"/>
    <xf numFmtId="0" fontId="0" fillId="6" borderId="51" xfId="0" applyFill="1" applyBorder="1"/>
    <xf numFmtId="0" fontId="0" fillId="6" borderId="52" xfId="0" applyFill="1" applyBorder="1"/>
    <xf numFmtId="0" fontId="0" fillId="6" borderId="53" xfId="0" applyFill="1" applyBorder="1"/>
    <xf numFmtId="0" fontId="0" fillId="5" borderId="54" xfId="0" applyFill="1" applyBorder="1"/>
    <xf numFmtId="0" fontId="8" fillId="5" borderId="0" xfId="0" applyFont="1" applyFill="1"/>
    <xf numFmtId="1" fontId="15" fillId="6" borderId="5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top"/>
    </xf>
    <xf numFmtId="0" fontId="0" fillId="0" borderId="0" xfId="0" applyAlignment="1"/>
    <xf numFmtId="0" fontId="0" fillId="0" borderId="0" xfId="0" applyAlignment="1">
      <alignment horizontal="left" vertical="center"/>
    </xf>
    <xf numFmtId="0" fontId="9" fillId="0" borderId="0" xfId="0" applyFont="1"/>
    <xf numFmtId="0" fontId="9" fillId="0" borderId="58" xfId="0" applyFont="1" applyBorder="1"/>
    <xf numFmtId="0" fontId="9" fillId="0" borderId="59" xfId="0" applyFont="1" applyBorder="1"/>
    <xf numFmtId="0" fontId="9" fillId="0" borderId="10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9" fillId="0" borderId="9" xfId="0" applyFont="1" applyBorder="1"/>
    <xf numFmtId="0" fontId="9" fillId="0" borderId="13" xfId="0" applyFont="1" applyBorder="1"/>
    <xf numFmtId="1" fontId="9" fillId="0" borderId="13" xfId="0" applyNumberFormat="1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9" fillId="0" borderId="13" xfId="0" applyFont="1" applyBorder="1" applyAlignment="1">
      <alignment horizontal="center" vertical="center"/>
    </xf>
    <xf numFmtId="1" fontId="9" fillId="0" borderId="9" xfId="0" applyNumberFormat="1" applyFont="1" applyBorder="1" applyAlignment="1">
      <alignment horizontal="center"/>
    </xf>
    <xf numFmtId="0" fontId="9" fillId="0" borderId="9" xfId="0" applyFont="1" applyBorder="1" applyAlignment="1">
      <alignment horizontal="center" vertical="center"/>
    </xf>
    <xf numFmtId="0" fontId="10" fillId="0" borderId="60" xfId="0" applyFont="1" applyBorder="1"/>
    <xf numFmtId="1" fontId="10" fillId="0" borderId="60" xfId="0" applyNumberFormat="1" applyFont="1" applyBorder="1" applyAlignment="1">
      <alignment horizontal="center"/>
    </xf>
    <xf numFmtId="0" fontId="9" fillId="0" borderId="60" xfId="0" applyFont="1" applyBorder="1" applyAlignment="1">
      <alignment horizontal="center"/>
    </xf>
    <xf numFmtId="0" fontId="9" fillId="0" borderId="61" xfId="0" applyFont="1" applyBorder="1"/>
    <xf numFmtId="1" fontId="9" fillId="0" borderId="61" xfId="0" applyNumberFormat="1" applyFont="1" applyBorder="1" applyAlignment="1">
      <alignment horizontal="center"/>
    </xf>
    <xf numFmtId="0" fontId="9" fillId="0" borderId="61" xfId="0" applyFont="1" applyBorder="1" applyAlignment="1">
      <alignment horizontal="center"/>
    </xf>
    <xf numFmtId="0" fontId="9" fillId="0" borderId="62" xfId="0" applyFont="1" applyBorder="1"/>
    <xf numFmtId="1" fontId="9" fillId="0" borderId="62" xfId="0" applyNumberFormat="1" applyFont="1" applyBorder="1" applyAlignment="1">
      <alignment horizontal="center"/>
    </xf>
    <xf numFmtId="0" fontId="9" fillId="0" borderId="62" xfId="0" applyFont="1" applyBorder="1" applyAlignment="1">
      <alignment horizontal="center"/>
    </xf>
    <xf numFmtId="14" fontId="9" fillId="0" borderId="0" xfId="0" applyNumberFormat="1" applyFont="1"/>
    <xf numFmtId="0" fontId="9" fillId="0" borderId="0" xfId="0" applyFont="1" applyAlignment="1"/>
    <xf numFmtId="0" fontId="9" fillId="0" borderId="45" xfId="0" applyFont="1" applyBorder="1"/>
    <xf numFmtId="0" fontId="10" fillId="0" borderId="9" xfId="0" applyFont="1" applyBorder="1" applyAlignment="1">
      <alignment horizontal="center" vertical="center"/>
    </xf>
    <xf numFmtId="1" fontId="10" fillId="0" borderId="9" xfId="0" applyNumberFormat="1" applyFont="1" applyBorder="1" applyAlignment="1">
      <alignment horizontal="center" vertical="center"/>
    </xf>
    <xf numFmtId="0" fontId="0" fillId="0" borderId="19" xfId="0" applyBorder="1"/>
    <xf numFmtId="0" fontId="0" fillId="0" borderId="0" xfId="0" applyFill="1" applyBorder="1"/>
    <xf numFmtId="0" fontId="9" fillId="4" borderId="26" xfId="0" applyFont="1" applyFill="1" applyBorder="1" applyAlignment="1">
      <alignment horizontal="center" vertical="center"/>
    </xf>
    <xf numFmtId="0" fontId="0" fillId="4" borderId="0" xfId="0" applyFill="1"/>
    <xf numFmtId="0" fontId="12" fillId="4" borderId="20" xfId="0" applyFont="1" applyFill="1" applyBorder="1" applyAlignment="1">
      <alignment horizontal="center" vertical="center"/>
    </xf>
    <xf numFmtId="0" fontId="12" fillId="4" borderId="33" xfId="0" applyFont="1" applyFill="1" applyBorder="1" applyAlignment="1">
      <alignment horizontal="center" vertical="center"/>
    </xf>
    <xf numFmtId="0" fontId="20" fillId="4" borderId="69" xfId="0" applyFont="1" applyFill="1" applyBorder="1" applyAlignment="1">
      <alignment horizontal="center" vertical="center"/>
    </xf>
    <xf numFmtId="1" fontId="0" fillId="0" borderId="21" xfId="0" applyNumberFormat="1" applyFill="1" applyBorder="1" applyAlignment="1">
      <alignment horizontal="center"/>
    </xf>
    <xf numFmtId="0" fontId="0" fillId="0" borderId="4" xfId="0" applyFill="1" applyBorder="1"/>
    <xf numFmtId="0" fontId="0" fillId="0" borderId="5" xfId="0" applyFill="1" applyBorder="1"/>
    <xf numFmtId="1" fontId="0" fillId="0" borderId="0" xfId="0" applyNumberFormat="1" applyFill="1" applyBorder="1"/>
    <xf numFmtId="0" fontId="21" fillId="0" borderId="0" xfId="0" applyFont="1"/>
    <xf numFmtId="0" fontId="22" fillId="0" borderId="0" xfId="0" applyFont="1"/>
    <xf numFmtId="0" fontId="22" fillId="0" borderId="0" xfId="0" applyFont="1" applyFill="1" applyBorder="1"/>
    <xf numFmtId="0" fontId="23" fillId="0" borderId="0" xfId="0" applyFont="1"/>
    <xf numFmtId="49" fontId="0" fillId="0" borderId="0" xfId="0" applyNumberFormat="1"/>
    <xf numFmtId="1" fontId="0" fillId="2" borderId="10" xfId="0" applyNumberFormat="1" applyFill="1" applyBorder="1"/>
    <xf numFmtId="0" fontId="0" fillId="2" borderId="9" xfId="0" applyNumberFormat="1" applyFill="1" applyBorder="1"/>
    <xf numFmtId="0" fontId="9" fillId="6" borderId="0" xfId="0" applyNumberFormat="1" applyFont="1" applyFill="1" applyBorder="1" applyAlignment="1">
      <alignment horizontal="left"/>
    </xf>
    <xf numFmtId="0" fontId="9" fillId="4" borderId="30" xfId="0" applyNumberFormat="1" applyFont="1" applyFill="1" applyBorder="1"/>
    <xf numFmtId="1" fontId="0" fillId="2" borderId="9" xfId="0" applyNumberFormat="1" applyFill="1" applyBorder="1"/>
    <xf numFmtId="1" fontId="0" fillId="3" borderId="0" xfId="0" applyNumberFormat="1" applyFill="1"/>
    <xf numFmtId="0" fontId="17" fillId="4" borderId="0" xfId="0" applyFont="1" applyFill="1" applyBorder="1"/>
    <xf numFmtId="0" fontId="0" fillId="4" borderId="29" xfId="0" applyFill="1" applyBorder="1"/>
    <xf numFmtId="0" fontId="0" fillId="4" borderId="72" xfId="0" applyFill="1" applyBorder="1"/>
    <xf numFmtId="0" fontId="0" fillId="4" borderId="73" xfId="0" applyFill="1" applyBorder="1"/>
    <xf numFmtId="0" fontId="0" fillId="4" borderId="74" xfId="0" applyFill="1" applyBorder="1"/>
    <xf numFmtId="0" fontId="0" fillId="4" borderId="75" xfId="0" applyFill="1" applyBorder="1"/>
    <xf numFmtId="0" fontId="0" fillId="4" borderId="78" xfId="0" applyFill="1" applyBorder="1"/>
    <xf numFmtId="0" fontId="0" fillId="4" borderId="79" xfId="0" applyFill="1" applyBorder="1"/>
    <xf numFmtId="0" fontId="0" fillId="4" borderId="80" xfId="0" applyFill="1" applyBorder="1"/>
    <xf numFmtId="0" fontId="0" fillId="4" borderId="81" xfId="0" applyFill="1" applyBorder="1"/>
    <xf numFmtId="0" fontId="9" fillId="4" borderId="26" xfId="0" applyFont="1" applyFill="1" applyBorder="1" applyAlignment="1">
      <alignment vertical="center"/>
    </xf>
    <xf numFmtId="0" fontId="17" fillId="4" borderId="0" xfId="0" applyFont="1" applyFill="1" applyBorder="1" applyAlignment="1">
      <alignment vertical="center"/>
    </xf>
    <xf numFmtId="0" fontId="9" fillId="4" borderId="0" xfId="0" applyFont="1" applyFill="1" applyBorder="1" applyAlignment="1">
      <alignment vertical="center"/>
    </xf>
    <xf numFmtId="0" fontId="9" fillId="7" borderId="0" xfId="0" applyFont="1" applyFill="1" applyBorder="1" applyAlignment="1">
      <alignment vertical="center"/>
    </xf>
    <xf numFmtId="0" fontId="0" fillId="4" borderId="41" xfId="0" applyFill="1" applyBorder="1"/>
    <xf numFmtId="0" fontId="0" fillId="4" borderId="40" xfId="0" applyFill="1" applyBorder="1"/>
    <xf numFmtId="0" fontId="0" fillId="4" borderId="39" xfId="0" applyFill="1" applyBorder="1"/>
    <xf numFmtId="0" fontId="9" fillId="4" borderId="0" xfId="0" applyFont="1" applyFill="1" applyBorder="1" applyAlignment="1">
      <alignment horizontal="center"/>
    </xf>
    <xf numFmtId="1" fontId="25" fillId="0" borderId="0" xfId="0" applyNumberFormat="1" applyFont="1"/>
    <xf numFmtId="0" fontId="0" fillId="6" borderId="97" xfId="0" applyFill="1" applyBorder="1"/>
    <xf numFmtId="0" fontId="0" fillId="6" borderId="98" xfId="0" applyFill="1" applyBorder="1"/>
    <xf numFmtId="0" fontId="0" fillId="6" borderId="99" xfId="0" applyFill="1" applyBorder="1"/>
    <xf numFmtId="0" fontId="13" fillId="4" borderId="0" xfId="0" applyFont="1" applyFill="1" applyBorder="1" applyAlignment="1">
      <alignment horizontal="center" vertical="center"/>
    </xf>
    <xf numFmtId="0" fontId="13" fillId="4" borderId="29" xfId="0" applyFont="1" applyFill="1" applyBorder="1" applyAlignment="1">
      <alignment horizontal="center" vertical="center"/>
    </xf>
    <xf numFmtId="0" fontId="13" fillId="4" borderId="26" xfId="0" applyFont="1" applyFill="1" applyBorder="1" applyAlignment="1">
      <alignment horizontal="center" vertical="center"/>
    </xf>
    <xf numFmtId="0" fontId="13" fillId="4" borderId="34" xfId="0" applyFont="1" applyFill="1" applyBorder="1" applyAlignment="1">
      <alignment horizontal="center" vertical="center"/>
    </xf>
    <xf numFmtId="0" fontId="13" fillId="4" borderId="35" xfId="0" applyFont="1" applyFill="1" applyBorder="1" applyAlignment="1">
      <alignment horizontal="center" vertical="center"/>
    </xf>
    <xf numFmtId="0" fontId="13" fillId="4" borderId="36" xfId="0" applyFont="1" applyFill="1" applyBorder="1" applyAlignment="1">
      <alignment horizontal="center" vertical="center"/>
    </xf>
    <xf numFmtId="1" fontId="26" fillId="5" borderId="0" xfId="0" applyNumberFormat="1" applyFont="1" applyFill="1" applyBorder="1" applyAlignment="1">
      <alignment horizontal="center" vertical="center"/>
    </xf>
    <xf numFmtId="0" fontId="20" fillId="4" borderId="29" xfId="0" applyFont="1" applyFill="1" applyBorder="1" applyAlignment="1">
      <alignment horizontal="center" vertical="center"/>
    </xf>
    <xf numFmtId="0" fontId="20" fillId="4" borderId="0" xfId="0" applyFont="1" applyFill="1" applyBorder="1" applyAlignment="1">
      <alignment horizontal="center" vertical="center"/>
    </xf>
    <xf numFmtId="0" fontId="20" fillId="4" borderId="29" xfId="0" applyFont="1" applyFill="1" applyBorder="1" applyAlignment="1">
      <alignment horizontal="left" vertical="center"/>
    </xf>
    <xf numFmtId="0" fontId="9" fillId="6" borderId="0" xfId="0" applyFont="1" applyFill="1" applyBorder="1" applyAlignment="1">
      <alignment horizontal="center" vertical="center"/>
    </xf>
    <xf numFmtId="14" fontId="9" fillId="0" borderId="9" xfId="0" applyNumberFormat="1" applyFont="1" applyBorder="1" applyAlignment="1">
      <alignment horizontal="center" vertical="center"/>
    </xf>
    <xf numFmtId="0" fontId="9" fillId="0" borderId="9" xfId="0" applyNumberFormat="1" applyFont="1" applyBorder="1" applyAlignment="1">
      <alignment horizontal="center" vertical="center"/>
    </xf>
    <xf numFmtId="0" fontId="30" fillId="0" borderId="9" xfId="0" applyFont="1" applyBorder="1" applyAlignment="1">
      <alignment horizontal="center" vertical="center"/>
    </xf>
    <xf numFmtId="0" fontId="30" fillId="0" borderId="9" xfId="0" applyFont="1" applyBorder="1" applyAlignment="1">
      <alignment horizontal="center"/>
    </xf>
    <xf numFmtId="14" fontId="30" fillId="0" borderId="9" xfId="0" applyNumberFormat="1" applyFont="1" applyBorder="1" applyAlignment="1">
      <alignment horizontal="center" vertical="center"/>
    </xf>
    <xf numFmtId="0" fontId="9" fillId="0" borderId="9" xfId="0" applyNumberFormat="1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9" fillId="0" borderId="10" xfId="0" applyNumberFormat="1" applyFont="1" applyBorder="1" applyAlignment="1">
      <alignment horizontal="center" vertical="center"/>
    </xf>
    <xf numFmtId="0" fontId="9" fillId="0" borderId="9" xfId="0" applyNumberFormat="1" applyFont="1" applyBorder="1"/>
    <xf numFmtId="0" fontId="10" fillId="0" borderId="9" xfId="0" applyNumberFormat="1" applyFont="1" applyBorder="1" applyAlignment="1">
      <alignment horizontal="center" vertical="center"/>
    </xf>
    <xf numFmtId="0" fontId="10" fillId="0" borderId="9" xfId="0" applyNumberFormat="1" applyFont="1" applyBorder="1" applyAlignment="1">
      <alignment horizontal="center" vertical="top"/>
    </xf>
    <xf numFmtId="0" fontId="0" fillId="0" borderId="0" xfId="0" applyBorder="1" applyAlignment="1">
      <alignment horizontal="center" vertical="top" wrapText="1"/>
    </xf>
    <xf numFmtId="0" fontId="4" fillId="5" borderId="64" xfId="0" applyFont="1" applyFill="1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5" fillId="0" borderId="0" xfId="0" applyFont="1" applyBorder="1" applyAlignment="1">
      <alignment horizontal="center" vertical="top" wrapText="1"/>
    </xf>
    <xf numFmtId="0" fontId="0" fillId="0" borderId="26" xfId="0" applyBorder="1" applyAlignment="1">
      <alignment horizontal="center" vertical="top" wrapText="1"/>
    </xf>
    <xf numFmtId="0" fontId="19" fillId="6" borderId="67" xfId="0" applyFont="1" applyFill="1" applyBorder="1" applyAlignment="1">
      <alignment horizontal="center" vertical="center" wrapText="1"/>
    </xf>
    <xf numFmtId="0" fontId="19" fillId="6" borderId="40" xfId="0" applyFont="1" applyFill="1" applyBorder="1" applyAlignment="1">
      <alignment horizontal="center" vertical="center" wrapText="1"/>
    </xf>
    <xf numFmtId="0" fontId="19" fillId="6" borderId="68" xfId="0" applyFont="1" applyFill="1" applyBorder="1" applyAlignment="1">
      <alignment horizontal="center" vertical="center" wrapText="1"/>
    </xf>
    <xf numFmtId="0" fontId="19" fillId="6" borderId="49" xfId="0" applyFont="1" applyFill="1" applyBorder="1" applyAlignment="1">
      <alignment horizontal="center" vertical="center" wrapText="1"/>
    </xf>
    <xf numFmtId="0" fontId="19" fillId="6" borderId="0" xfId="0" applyFont="1" applyFill="1" applyBorder="1" applyAlignment="1">
      <alignment horizontal="center" vertical="center" wrapText="1"/>
    </xf>
    <xf numFmtId="0" fontId="19" fillId="6" borderId="50" xfId="0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center" vertical="center"/>
    </xf>
    <xf numFmtId="0" fontId="9" fillId="0" borderId="14" xfId="0" applyFont="1" applyFill="1" applyBorder="1" applyAlignment="1" applyProtection="1">
      <alignment horizontal="center" vertical="center"/>
      <protection locked="0"/>
    </xf>
    <xf numFmtId="0" fontId="9" fillId="0" borderId="15" xfId="0" applyFont="1" applyFill="1" applyBorder="1" applyAlignment="1" applyProtection="1">
      <alignment horizontal="center" vertical="center"/>
      <protection locked="0"/>
    </xf>
    <xf numFmtId="0" fontId="9" fillId="0" borderId="16" xfId="0" applyFont="1" applyFill="1" applyBorder="1" applyAlignment="1" applyProtection="1">
      <alignment horizontal="center" vertical="center"/>
      <protection locked="0"/>
    </xf>
    <xf numFmtId="0" fontId="9" fillId="4" borderId="0" xfId="0" applyFont="1" applyFill="1" applyBorder="1" applyAlignment="1">
      <alignment horizontal="center"/>
    </xf>
    <xf numFmtId="0" fontId="9" fillId="4" borderId="29" xfId="0" applyFont="1" applyFill="1" applyBorder="1" applyAlignment="1">
      <alignment horizontal="center" vertical="center"/>
    </xf>
    <xf numFmtId="0" fontId="9" fillId="4" borderId="17" xfId="0" applyFont="1" applyFill="1" applyBorder="1" applyAlignment="1">
      <alignment horizontal="center" vertical="center"/>
    </xf>
    <xf numFmtId="0" fontId="7" fillId="0" borderId="27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4" fillId="4" borderId="0" xfId="0" applyFont="1" applyFill="1" applyBorder="1" applyAlignment="1">
      <alignment horizontal="center" vertical="center"/>
    </xf>
    <xf numFmtId="0" fontId="10" fillId="0" borderId="14" xfId="0" applyFont="1" applyFill="1" applyBorder="1" applyAlignment="1" applyProtection="1">
      <alignment horizontal="center" vertical="center"/>
      <protection locked="0"/>
    </xf>
    <xf numFmtId="0" fontId="10" fillId="0" borderId="16" xfId="0" applyFont="1" applyFill="1" applyBorder="1" applyAlignment="1" applyProtection="1">
      <alignment horizontal="center" vertical="center"/>
      <protection locked="0"/>
    </xf>
    <xf numFmtId="2" fontId="10" fillId="0" borderId="14" xfId="0" applyNumberFormat="1" applyFont="1" applyFill="1" applyBorder="1" applyAlignment="1">
      <alignment horizontal="center" vertical="center"/>
    </xf>
    <xf numFmtId="2" fontId="10" fillId="0" borderId="16" xfId="0" applyNumberFormat="1" applyFont="1" applyFill="1" applyBorder="1" applyAlignment="1">
      <alignment horizontal="center" vertical="center"/>
    </xf>
    <xf numFmtId="0" fontId="9" fillId="4" borderId="26" xfId="0" applyFont="1" applyFill="1" applyBorder="1" applyAlignment="1">
      <alignment horizontal="center" vertical="center"/>
    </xf>
    <xf numFmtId="0" fontId="9" fillId="4" borderId="29" xfId="0" applyFont="1" applyFill="1" applyBorder="1" applyAlignment="1">
      <alignment horizontal="left" vertical="center"/>
    </xf>
    <xf numFmtId="0" fontId="9" fillId="4" borderId="0" xfId="0" applyFont="1" applyFill="1" applyBorder="1" applyAlignment="1">
      <alignment horizontal="left" vertical="center"/>
    </xf>
    <xf numFmtId="0" fontId="9" fillId="4" borderId="30" xfId="0" applyFont="1" applyFill="1" applyBorder="1" applyAlignment="1">
      <alignment horizontal="left" vertical="center"/>
    </xf>
    <xf numFmtId="0" fontId="9" fillId="4" borderId="19" xfId="0" applyFont="1" applyFill="1" applyBorder="1" applyAlignment="1">
      <alignment horizontal="left" vertical="center"/>
    </xf>
    <xf numFmtId="0" fontId="9" fillId="0" borderId="22" xfId="0" applyFont="1" applyFill="1" applyBorder="1" applyAlignment="1">
      <alignment horizontal="center"/>
    </xf>
    <xf numFmtId="0" fontId="9" fillId="0" borderId="23" xfId="0" applyFont="1" applyFill="1" applyBorder="1" applyAlignment="1">
      <alignment horizontal="center"/>
    </xf>
    <xf numFmtId="0" fontId="9" fillId="4" borderId="30" xfId="0" applyFont="1" applyFill="1" applyBorder="1" applyAlignment="1"/>
    <xf numFmtId="0" fontId="9" fillId="4" borderId="19" xfId="0" applyFont="1" applyFill="1" applyBorder="1" applyAlignment="1"/>
    <xf numFmtId="1" fontId="9" fillId="4" borderId="45" xfId="0" applyNumberFormat="1" applyFont="1" applyFill="1" applyBorder="1" applyAlignment="1">
      <alignment horizontal="right" vertical="center"/>
    </xf>
    <xf numFmtId="0" fontId="0" fillId="0" borderId="46" xfId="0" applyBorder="1" applyAlignment="1">
      <alignment horizontal="right" vertical="center"/>
    </xf>
    <xf numFmtId="0" fontId="7" fillId="0" borderId="0" xfId="0" applyFont="1" applyBorder="1" applyAlignment="1">
      <alignment horizontal="center" vertical="center"/>
    </xf>
    <xf numFmtId="0" fontId="9" fillId="4" borderId="29" xfId="0" applyFont="1" applyFill="1" applyBorder="1" applyAlignment="1">
      <alignment horizontal="center"/>
    </xf>
    <xf numFmtId="0" fontId="10" fillId="6" borderId="0" xfId="0" applyFont="1" applyFill="1" applyBorder="1" applyAlignment="1">
      <alignment horizontal="center"/>
    </xf>
    <xf numFmtId="0" fontId="10" fillId="6" borderId="0" xfId="0" applyFont="1" applyFill="1" applyBorder="1" applyAlignment="1"/>
    <xf numFmtId="0" fontId="10" fillId="0" borderId="15" xfId="0" applyFont="1" applyFill="1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1" fontId="10" fillId="0" borderId="14" xfId="0" applyNumberFormat="1" applyFont="1" applyFill="1" applyBorder="1" applyAlignment="1">
      <alignment horizontal="center" vertical="center"/>
    </xf>
    <xf numFmtId="1" fontId="10" fillId="0" borderId="16" xfId="0" applyNumberFormat="1" applyFont="1" applyFill="1" applyBorder="1" applyAlignment="1">
      <alignment horizontal="center" vertical="center"/>
    </xf>
    <xf numFmtId="0" fontId="0" fillId="0" borderId="0" xfId="0" applyAlignment="1"/>
    <xf numFmtId="1" fontId="15" fillId="6" borderId="50" xfId="0" applyNumberFormat="1" applyFont="1" applyFill="1" applyBorder="1" applyAlignment="1">
      <alignment horizontal="center" vertical="center" wrapText="1"/>
    </xf>
    <xf numFmtId="0" fontId="15" fillId="6" borderId="50" xfId="0" applyFont="1" applyFill="1" applyBorder="1" applyAlignment="1">
      <alignment horizontal="center" vertical="center" wrapText="1"/>
    </xf>
    <xf numFmtId="0" fontId="14" fillId="0" borderId="50" xfId="0" applyFont="1" applyBorder="1" applyAlignment="1">
      <alignment wrapText="1"/>
    </xf>
    <xf numFmtId="1" fontId="15" fillId="6" borderId="49" xfId="0" applyNumberFormat="1" applyFont="1" applyFill="1" applyBorder="1" applyAlignment="1">
      <alignment horizontal="center" vertical="center" wrapText="1"/>
    </xf>
    <xf numFmtId="0" fontId="15" fillId="6" borderId="0" xfId="0" applyFont="1" applyFill="1" applyBorder="1" applyAlignment="1">
      <alignment horizontal="center" vertical="center" wrapText="1"/>
    </xf>
    <xf numFmtId="0" fontId="15" fillId="6" borderId="49" xfId="0" applyFont="1" applyFill="1" applyBorder="1" applyAlignment="1">
      <alignment horizontal="center" vertical="center" wrapText="1"/>
    </xf>
    <xf numFmtId="1" fontId="13" fillId="6" borderId="49" xfId="0" applyNumberFormat="1" applyFont="1" applyFill="1" applyBorder="1" applyAlignment="1">
      <alignment horizontal="center" vertical="center" wrapText="1"/>
    </xf>
    <xf numFmtId="0" fontId="13" fillId="6" borderId="0" xfId="0" applyFont="1" applyFill="1" applyBorder="1" applyAlignment="1">
      <alignment horizontal="center" vertical="center" wrapText="1"/>
    </xf>
    <xf numFmtId="0" fontId="0" fillId="6" borderId="49" xfId="0" applyFill="1" applyBorder="1" applyAlignment="1">
      <alignment wrapText="1"/>
    </xf>
    <xf numFmtId="0" fontId="0" fillId="6" borderId="0" xfId="0" applyFill="1" applyAlignment="1">
      <alignment wrapText="1"/>
    </xf>
    <xf numFmtId="0" fontId="14" fillId="0" borderId="49" xfId="0" applyFont="1" applyBorder="1" applyAlignment="1">
      <alignment wrapText="1"/>
    </xf>
    <xf numFmtId="0" fontId="14" fillId="0" borderId="0" xfId="0" applyFont="1" applyBorder="1" applyAlignment="1">
      <alignment wrapText="1"/>
    </xf>
    <xf numFmtId="0" fontId="9" fillId="6" borderId="29" xfId="0" applyFont="1" applyFill="1" applyBorder="1" applyAlignment="1">
      <alignment horizontal="left" vertical="center"/>
    </xf>
    <xf numFmtId="0" fontId="9" fillId="6" borderId="0" xfId="0" applyFont="1" applyFill="1" applyBorder="1" applyAlignment="1">
      <alignment horizontal="left" vertical="center"/>
    </xf>
    <xf numFmtId="0" fontId="27" fillId="6" borderId="49" xfId="0" applyFont="1" applyFill="1" applyBorder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0" fontId="27" fillId="0" borderId="49" xfId="0" applyFont="1" applyBorder="1" applyAlignment="1">
      <alignment horizontal="center" vertical="center" wrapText="1"/>
    </xf>
    <xf numFmtId="0" fontId="28" fillId="4" borderId="0" xfId="0" applyFont="1" applyFill="1" applyBorder="1" applyAlignment="1">
      <alignment horizontal="center" vertical="top" wrapText="1"/>
    </xf>
    <xf numFmtId="0" fontId="29" fillId="0" borderId="0" xfId="0" applyFont="1" applyAlignment="1">
      <alignment horizontal="center" vertical="top" wrapText="1"/>
    </xf>
    <xf numFmtId="0" fontId="29" fillId="0" borderId="26" xfId="0" applyFont="1" applyBorder="1" applyAlignment="1">
      <alignment horizontal="center" vertical="top" wrapText="1"/>
    </xf>
    <xf numFmtId="0" fontId="7" fillId="5" borderId="89" xfId="0" applyFont="1" applyFill="1" applyBorder="1" applyAlignment="1">
      <alignment horizontal="center" vertical="center" wrapText="1"/>
    </xf>
    <xf numFmtId="0" fontId="0" fillId="5" borderId="88" xfId="0" applyFill="1" applyBorder="1" applyAlignment="1">
      <alignment horizontal="center" vertical="center" wrapText="1"/>
    </xf>
    <xf numFmtId="0" fontId="0" fillId="5" borderId="87" xfId="0" applyFill="1" applyBorder="1" applyAlignment="1">
      <alignment horizontal="center" vertical="center" wrapText="1"/>
    </xf>
    <xf numFmtId="0" fontId="0" fillId="5" borderId="86" xfId="0" applyFill="1" applyBorder="1" applyAlignment="1">
      <alignment horizontal="center" vertical="center" wrapText="1"/>
    </xf>
    <xf numFmtId="0" fontId="0" fillId="5" borderId="0" xfId="0" applyFill="1" applyBorder="1" applyAlignment="1">
      <alignment horizontal="center" vertical="center" wrapText="1"/>
    </xf>
    <xf numFmtId="0" fontId="0" fillId="5" borderId="85" xfId="0" applyFill="1" applyBorder="1" applyAlignment="1">
      <alignment horizontal="center" vertical="center" wrapText="1"/>
    </xf>
    <xf numFmtId="0" fontId="0" fillId="5" borderId="84" xfId="0" applyFill="1" applyBorder="1" applyAlignment="1">
      <alignment horizontal="center" vertical="center" wrapText="1"/>
    </xf>
    <xf numFmtId="0" fontId="0" fillId="5" borderId="83" xfId="0" applyFill="1" applyBorder="1" applyAlignment="1">
      <alignment horizontal="center" vertical="center" wrapText="1"/>
    </xf>
    <xf numFmtId="0" fontId="0" fillId="5" borderId="82" xfId="0" applyFill="1" applyBorder="1" applyAlignment="1">
      <alignment horizontal="center" vertical="center" wrapText="1"/>
    </xf>
    <xf numFmtId="0" fontId="10" fillId="5" borderId="71" xfId="0" applyFont="1" applyFill="1" applyBorder="1" applyAlignment="1" applyProtection="1">
      <alignment horizontal="center" vertical="center"/>
      <protection locked="0"/>
    </xf>
    <xf numFmtId="0" fontId="10" fillId="5" borderId="70" xfId="0" applyFont="1" applyFill="1" applyBorder="1" applyAlignment="1" applyProtection="1">
      <alignment horizontal="center" vertical="center"/>
      <protection locked="0"/>
    </xf>
    <xf numFmtId="0" fontId="0" fillId="4" borderId="0" xfId="0" applyFill="1" applyBorder="1" applyAlignment="1">
      <alignment horizontal="center" vertical="center"/>
    </xf>
    <xf numFmtId="1" fontId="10" fillId="5" borderId="71" xfId="0" applyNumberFormat="1" applyFont="1" applyFill="1" applyBorder="1" applyAlignment="1" applyProtection="1">
      <alignment horizontal="center" vertical="center"/>
    </xf>
    <xf numFmtId="1" fontId="10" fillId="5" borderId="70" xfId="0" applyNumberFormat="1" applyFont="1" applyFill="1" applyBorder="1" applyAlignment="1" applyProtection="1">
      <alignment horizontal="center" vertical="center"/>
    </xf>
    <xf numFmtId="0" fontId="10" fillId="5" borderId="71" xfId="0" applyFont="1" applyFill="1" applyBorder="1" applyAlignment="1">
      <alignment horizontal="center" vertical="center"/>
    </xf>
    <xf numFmtId="0" fontId="10" fillId="5" borderId="70" xfId="0" applyFont="1" applyFill="1" applyBorder="1" applyAlignment="1">
      <alignment horizontal="center" vertical="center"/>
    </xf>
    <xf numFmtId="0" fontId="9" fillId="4" borderId="73" xfId="0" applyFont="1" applyFill="1" applyBorder="1" applyAlignment="1">
      <alignment horizontal="center" vertical="center"/>
    </xf>
    <xf numFmtId="0" fontId="0" fillId="4" borderId="72" xfId="0" applyFill="1" applyBorder="1" applyAlignment="1">
      <alignment horizontal="center" vertical="center"/>
    </xf>
    <xf numFmtId="0" fontId="9" fillId="4" borderId="0" xfId="0" applyFont="1" applyFill="1" applyBorder="1" applyAlignment="1">
      <alignment vertical="center"/>
    </xf>
    <xf numFmtId="1" fontId="10" fillId="5" borderId="71" xfId="0" applyNumberFormat="1" applyFont="1" applyFill="1" applyBorder="1" applyAlignment="1">
      <alignment horizontal="center" vertical="center"/>
    </xf>
    <xf numFmtId="1" fontId="10" fillId="5" borderId="70" xfId="0" applyNumberFormat="1" applyFont="1" applyFill="1" applyBorder="1" applyAlignment="1">
      <alignment horizontal="center" vertical="center"/>
    </xf>
    <xf numFmtId="0" fontId="9" fillId="7" borderId="93" xfId="0" applyFont="1" applyFill="1" applyBorder="1" applyAlignment="1">
      <alignment horizontal="center" vertical="center"/>
    </xf>
    <xf numFmtId="0" fontId="9" fillId="7" borderId="0" xfId="0" applyFont="1" applyFill="1" applyBorder="1" applyAlignment="1">
      <alignment horizontal="center" vertical="center"/>
    </xf>
    <xf numFmtId="0" fontId="9" fillId="7" borderId="92" xfId="0" applyFont="1" applyFill="1" applyBorder="1" applyAlignment="1">
      <alignment horizontal="center" vertical="center"/>
    </xf>
    <xf numFmtId="0" fontId="10" fillId="7" borderId="96" xfId="0" applyFont="1" applyFill="1" applyBorder="1" applyAlignment="1">
      <alignment horizontal="center" vertical="center"/>
    </xf>
    <xf numFmtId="0" fontId="1" fillId="7" borderId="95" xfId="0" applyFont="1" applyFill="1" applyBorder="1" applyAlignment="1">
      <alignment horizontal="center" vertical="center"/>
    </xf>
    <xf numFmtId="0" fontId="1" fillId="7" borderId="94" xfId="0" applyFont="1" applyFill="1" applyBorder="1" applyAlignment="1">
      <alignment horizontal="center" vertical="center"/>
    </xf>
    <xf numFmtId="0" fontId="10" fillId="5" borderId="91" xfId="0" applyFont="1" applyFill="1" applyBorder="1" applyAlignment="1">
      <alignment horizontal="center" vertical="center"/>
    </xf>
    <xf numFmtId="1" fontId="10" fillId="5" borderId="90" xfId="0" applyNumberFormat="1" applyFont="1" applyFill="1" applyBorder="1" applyAlignment="1">
      <alignment horizontal="center" vertical="center"/>
    </xf>
    <xf numFmtId="0" fontId="10" fillId="5" borderId="77" xfId="0" applyFont="1" applyFill="1" applyBorder="1" applyAlignment="1">
      <alignment horizontal="center" vertical="center"/>
    </xf>
    <xf numFmtId="0" fontId="10" fillId="5" borderId="76" xfId="0" applyFont="1" applyFill="1" applyBorder="1" applyAlignment="1">
      <alignment horizontal="center" vertical="center"/>
    </xf>
    <xf numFmtId="0" fontId="10" fillId="5" borderId="64" xfId="0" applyFont="1" applyFill="1" applyBorder="1" applyAlignment="1">
      <alignment horizontal="center" vertical="center"/>
    </xf>
    <xf numFmtId="0" fontId="0" fillId="5" borderId="65" xfId="0" applyFill="1" applyBorder="1" applyAlignment="1">
      <alignment horizontal="center" vertical="center"/>
    </xf>
    <xf numFmtId="0" fontId="0" fillId="5" borderId="66" xfId="0" applyFill="1" applyBorder="1" applyAlignment="1">
      <alignment horizontal="center" vertical="center"/>
    </xf>
    <xf numFmtId="0" fontId="9" fillId="4" borderId="0" xfId="0" applyFont="1" applyFill="1" applyBorder="1" applyAlignment="1">
      <alignment horizontal="center" wrapText="1"/>
    </xf>
    <xf numFmtId="0" fontId="9" fillId="0" borderId="0" xfId="0" applyFont="1" applyAlignment="1">
      <alignment horizontal="center" wrapText="1"/>
    </xf>
    <xf numFmtId="0" fontId="9" fillId="4" borderId="79" xfId="0" applyFont="1" applyFill="1" applyBorder="1" applyAlignment="1">
      <alignment horizontal="center" vertical="center"/>
    </xf>
    <xf numFmtId="0" fontId="0" fillId="4" borderId="78" xfId="0" applyFill="1" applyBorder="1" applyAlignment="1">
      <alignment horizontal="center" vertical="center"/>
    </xf>
    <xf numFmtId="1" fontId="10" fillId="5" borderId="77" xfId="0" applyNumberFormat="1" applyFont="1" applyFill="1" applyBorder="1" applyAlignment="1">
      <alignment horizontal="center" vertical="center"/>
    </xf>
    <xf numFmtId="1" fontId="10" fillId="5" borderId="76" xfId="0" applyNumberFormat="1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14" fontId="10" fillId="0" borderId="10" xfId="0" applyNumberFormat="1" applyFont="1" applyBorder="1" applyAlignment="1">
      <alignment horizontal="center" vertical="center"/>
    </xf>
    <xf numFmtId="0" fontId="10" fillId="0" borderId="63" xfId="0" applyFont="1" applyBorder="1" applyAlignment="1">
      <alignment horizontal="center" vertical="center"/>
    </xf>
    <xf numFmtId="0" fontId="10" fillId="0" borderId="55" xfId="0" applyFont="1" applyBorder="1" applyAlignment="1">
      <alignment horizontal="center" vertical="center"/>
    </xf>
    <xf numFmtId="14" fontId="10" fillId="0" borderId="9" xfId="0" applyNumberFormat="1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30" fillId="0" borderId="10" xfId="0" applyFont="1" applyBorder="1" applyAlignment="1">
      <alignment horizontal="center" vertical="center"/>
    </xf>
    <xf numFmtId="0" fontId="31" fillId="0" borderId="55" xfId="0" applyFont="1" applyBorder="1" applyAlignment="1">
      <alignment horizontal="center" vertical="center"/>
    </xf>
    <xf numFmtId="0" fontId="9" fillId="0" borderId="10" xfId="0" applyNumberFormat="1" applyFont="1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4" fillId="0" borderId="10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9" fillId="0" borderId="55" xfId="0" applyFont="1" applyBorder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9" fillId="0" borderId="19" xfId="0" applyFont="1" applyBorder="1" applyAlignment="1">
      <alignment horizontal="left" vertical="center"/>
    </xf>
    <xf numFmtId="0" fontId="9" fillId="0" borderId="19" xfId="0" applyFont="1" applyBorder="1" applyAlignment="1">
      <alignment horizontal="center" vertical="top"/>
    </xf>
    <xf numFmtId="0" fontId="0" fillId="0" borderId="19" xfId="0" applyBorder="1" applyAlignment="1">
      <alignment horizontal="center"/>
    </xf>
    <xf numFmtId="0" fontId="3" fillId="0" borderId="9" xfId="0" applyNumberFormat="1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top"/>
    </xf>
    <xf numFmtId="0" fontId="9" fillId="0" borderId="0" xfId="0" applyNumberFormat="1" applyFont="1" applyAlignment="1">
      <alignment horizontal="left" vertical="top"/>
    </xf>
    <xf numFmtId="0" fontId="9" fillId="0" borderId="45" xfId="0" applyFont="1" applyBorder="1" applyAlignment="1">
      <alignment horizontal="left" vertical="center"/>
    </xf>
    <xf numFmtId="0" fontId="7" fillId="0" borderId="0" xfId="0" applyNumberFormat="1" applyFont="1" applyAlignment="1">
      <alignment horizontal="center"/>
    </xf>
    <xf numFmtId="0" fontId="16" fillId="0" borderId="0" xfId="0" applyFont="1" applyAlignment="1"/>
    <xf numFmtId="0" fontId="0" fillId="0" borderId="9" xfId="0" applyBorder="1" applyAlignment="1">
      <alignment horizontal="center" vertical="center"/>
    </xf>
    <xf numFmtId="0" fontId="9" fillId="0" borderId="10" xfId="0" applyNumberFormat="1" applyFont="1" applyBorder="1" applyAlignment="1"/>
    <xf numFmtId="0" fontId="9" fillId="0" borderId="55" xfId="0" applyFont="1" applyBorder="1" applyAlignment="1"/>
    <xf numFmtId="0" fontId="17" fillId="0" borderId="0" xfId="0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9" fillId="0" borderId="55" xfId="0" applyFont="1" applyBorder="1" applyAlignment="1">
      <alignment horizontal="center"/>
    </xf>
    <xf numFmtId="0" fontId="4" fillId="0" borderId="0" xfId="0" applyNumberFormat="1" applyFont="1" applyAlignment="1">
      <alignment horizontal="center"/>
    </xf>
    <xf numFmtId="0" fontId="4" fillId="0" borderId="9" xfId="0" applyNumberFormat="1" applyFont="1" applyBorder="1" applyAlignment="1">
      <alignment horizontal="center"/>
    </xf>
    <xf numFmtId="0" fontId="9" fillId="0" borderId="9" xfId="0" applyFont="1" applyBorder="1" applyAlignment="1"/>
    <xf numFmtId="0" fontId="4" fillId="0" borderId="11" xfId="0" applyNumberFormat="1" applyFont="1" applyBorder="1" applyAlignment="1">
      <alignment horizontal="center"/>
    </xf>
    <xf numFmtId="0" fontId="9" fillId="0" borderId="11" xfId="0" applyFont="1" applyBorder="1" applyAlignment="1"/>
    <xf numFmtId="0" fontId="9" fillId="0" borderId="9" xfId="0" applyFont="1" applyBorder="1" applyAlignment="1">
      <alignment horizontal="center"/>
    </xf>
    <xf numFmtId="0" fontId="9" fillId="0" borderId="11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9" fillId="0" borderId="11" xfId="0" applyNumberFormat="1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56" xfId="0" applyNumberFormat="1" applyFont="1" applyBorder="1" applyAlignment="1">
      <alignment horizontal="center" vertical="center"/>
    </xf>
    <xf numFmtId="0" fontId="9" fillId="0" borderId="57" xfId="0" applyFont="1" applyBorder="1" applyAlignment="1">
      <alignment horizontal="center" vertical="center"/>
    </xf>
    <xf numFmtId="0" fontId="9" fillId="0" borderId="9" xfId="0" applyNumberFormat="1" applyFont="1" applyBorder="1" applyAlignment="1"/>
    <xf numFmtId="0" fontId="9" fillId="0" borderId="11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/>
    </xf>
    <xf numFmtId="0" fontId="9" fillId="0" borderId="13" xfId="0" applyFont="1" applyBorder="1" applyAlignment="1">
      <alignment horizontal="left" vertical="center"/>
    </xf>
    <xf numFmtId="0" fontId="4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center"/>
    </xf>
  </cellXfs>
  <cellStyles count="1">
    <cellStyle name="Normalan" xfId="0" builtinId="0"/>
  </cellStyles>
  <dxfs count="7">
    <dxf>
      <font>
        <color rgb="FF9C0006"/>
      </font>
      <fill>
        <patternFill>
          <bgColor rgb="FFFFC7CE"/>
        </patternFill>
      </fill>
    </dxf>
    <dxf>
      <fill>
        <gradientFill type="path" left="0.5" right="0.5" top="0.5" bottom="0.5">
          <stop position="0">
            <color rgb="FFFF0000"/>
          </stop>
          <stop position="1">
            <color theme="0"/>
          </stop>
        </gradientFill>
      </fill>
    </dxf>
    <dxf>
      <fill>
        <gradientFill type="path" left="0.5" right="0.5" top="0.5" bottom="0.5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00B0F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trlProps/ctrlProp1.xml><?xml version="1.0" encoding="utf-8"?>
<formControlPr xmlns="http://schemas.microsoft.com/office/spreadsheetml/2009/9/main" objectType="Drop" dropStyle="combo" dx="16" fmlaLink="List2!$K$34" fmlaRange="List2!$A$3:$A$18" noThreeD="1" sel="1" val="0"/>
</file>

<file path=xl/ctrlProps/ctrlProp2.xml><?xml version="1.0" encoding="utf-8"?>
<formControlPr xmlns="http://schemas.microsoft.com/office/spreadsheetml/2009/9/main" objectType="Drop" dropStyle="combo" dx="16" fmlaLink="List2!$O$10" fmlaRange="List2!P10:P17" noThreeD="1" sel="1" val="0"/>
</file>

<file path=xl/ctrlProps/ctrlProp3.xml><?xml version="1.0" encoding="utf-8"?>
<formControlPr xmlns="http://schemas.microsoft.com/office/spreadsheetml/2009/9/main" objectType="Drop" dropStyle="combo" dx="16" fmlaLink="List2!$E$9" fmlaRange="List2!$F$10:$F$24" noThreeD="1" sel="1" val="0"/>
</file>

<file path=xl/ctrlProps/ctrlProp4.xml><?xml version="1.0" encoding="utf-8"?>
<formControlPr xmlns="http://schemas.microsoft.com/office/spreadsheetml/2009/9/main" objectType="Drop" dropStyle="combo" dx="16" fmlaLink="List2!$S$33" fmlaRange="List2!$R$37:$R$39" noThreeD="1" sel="1" val="0"/>
</file>

<file path=xl/ctrlProps/ctrlProp5.xml><?xml version="1.0" encoding="utf-8"?>
<formControlPr xmlns="http://schemas.microsoft.com/office/spreadsheetml/2009/9/main" objectType="Drop" dropStyle="combo" dx="16" fmlaLink="List2!$S$8" fmlaRange="List2!$S$10:$S$13" noThreeD="1" sel="1" val="0"/>
</file>

<file path=xl/ctrlProps/ctrlProp6.xml><?xml version="1.0" encoding="utf-8"?>
<formControlPr xmlns="http://schemas.microsoft.com/office/spreadsheetml/2009/9/main" objectType="Drop" dropStyle="combo" dx="16" fmlaLink="List2!$L$9" fmlaRange="List2!$K$10:$K$19" noThreeD="1" sel="1" val="0"/>
</file>

<file path=xl/ctrlProps/ctrlProp7.xml><?xml version="1.0" encoding="utf-8"?>
<formControlPr xmlns="http://schemas.microsoft.com/office/spreadsheetml/2009/9/main" objectType="Drop" dropStyle="combo" dx="16" fmlaLink="List2!$O$23" fmlaRange="List2!$O$25:$O$27" noThreeD="1" sel="1" val="0"/>
</file>

<file path=xl/ctrlProps/ctrlProp8.xml><?xml version="1.0" encoding="utf-8"?>
<formControlPr xmlns="http://schemas.microsoft.com/office/spreadsheetml/2009/9/main" objectType="Drop" dropStyle="combo" dx="16" fmlaLink="List2!$J$20" fmlaRange="List2!$Q$44:$Q$47" noThreeD="1" sel="1" val="0"/>
</file>

<file path=xl/ctrlProps/ctrlProp9.xml><?xml version="1.0" encoding="utf-8"?>
<formControlPr xmlns="http://schemas.microsoft.com/office/spreadsheetml/2009/9/main" objectType="Drop" dropStyle="combo" dx="16" fmlaLink="List2!$L$8" fmlaRange="List2!$L$1:$L$7" noThreeD="1" sel="1" val="0"/>
</file>

<file path=xl/ctrlProps/ctrlProp10.xml><?xml version="1.0" encoding="utf-8"?>
<formControlPr xmlns="http://schemas.microsoft.com/office/spreadsheetml/2009/9/main" objectType="Drop" dropStyle="combo" dx="16" fmlaLink="List2!$O$8" fmlaRange="List2!$O$1:$O$7" noThreeD="1" sel="1" val="0"/>
</file>

<file path=xl/ctrlProps/ctrlProp11.xml><?xml version="1.0" encoding="utf-8"?>
<formControlPr xmlns="http://schemas.microsoft.com/office/spreadsheetml/2009/9/main" objectType="Drop" dropStyle="combo" dx="16" fmlaLink="List2!$T$1" fmlaRange="List2!$Q$1:$Q$8" noThreeD="1" sel="1" val="0"/>
</file>

<file path=xl/ctrlProps/ctrlProp12.xml><?xml version="1.0" encoding="utf-8"?>
<formControlPr xmlns="http://schemas.microsoft.com/office/spreadsheetml/2009/9/main" objectType="Drop" dropStyle="combo" dx="16" fmlaLink="List2!$V$7" fmlaRange="List2!$V$8:$V$12" noThreeD="1" sel="1" val="0"/>
</file>

<file path=xl/ctrlProps/ctrlProp13.xml><?xml version="1.0" encoding="utf-8"?>
<formControlPr xmlns="http://schemas.microsoft.com/office/spreadsheetml/2009/9/main" objectType="Drop" dropStyle="combo" dx="16" fmlaLink="List2!$W$14" fmlaRange="List2!$U$15:$U$19" noThreeD="1" sel="2" val="0"/>
</file>

<file path=xl/ctrlProps/ctrlProp14.xml><?xml version="1.0" encoding="utf-8"?>
<formControlPr xmlns="http://schemas.microsoft.com/office/spreadsheetml/2009/9/main" objectType="Drop" dropStyle="combo" dx="16" fmlaLink="List3!G3" fmlaRange="List3!$B$2:$B$9" noThreeD="1" sel="4" val="0"/>
</file>

<file path=xl/ctrlProps/ctrlProp15.xml><?xml version="1.0" encoding="utf-8"?>
<formControlPr xmlns="http://schemas.microsoft.com/office/spreadsheetml/2009/9/main" objectType="Drop" dropLines="18" dropStyle="combo" dx="16" fmlaLink="List3!F13" fmlaRange="List3!$A$13:$A$25" noThreeD="1" sel="5" val="0"/>
</file>

<file path=xl/ctrlProps/ctrlProp16.xml><?xml version="1.0" encoding="utf-8"?>
<formControlPr xmlns="http://schemas.microsoft.com/office/spreadsheetml/2009/9/main" objectType="Drop" dropStyle="combo" dx="16" fmlaLink="List3!$F$14" fmlaRange="List3!$L$1:$L$12" noThreeD="1" sel="6" val="0"/>
</file>

<file path=xl/ctrlProps/ctrlProp17.xml><?xml version="1.0" encoding="utf-8"?>
<formControlPr xmlns="http://schemas.microsoft.com/office/spreadsheetml/2009/9/main" objectType="Drop" dropStyle="combo" dx="16" fmlaLink="List3!J19" fmlaRange="List3!$L$1:$L$12" noThreeD="1" sel="6" val="0"/>
</file>

<file path=xl/ctrlProps/ctrlProp18.xml><?xml version="1.0" encoding="utf-8"?>
<formControlPr xmlns="http://schemas.microsoft.com/office/spreadsheetml/2009/9/main" objectType="Drop" dropStyle="combo" dx="16" fmlaLink="List3!$J$18" fmlaRange="List3!$G$17:$G$28" noThreeD="1" sel="5" val="0"/>
</file>

<file path=xl/ctrlProps/ctrlProp19.xml><?xml version="1.0" encoding="utf-8"?>
<formControlPr xmlns="http://schemas.microsoft.com/office/spreadsheetml/2009/9/main" objectType="Drop" dropStyle="combo" dx="16" fmlaLink="List3!F31" fmlaRange="List3!$C$30:$C$35" noThreeD="1" sel="2" val="0"/>
</file>

<file path=xl/ctrlProps/ctrlProp20.xml><?xml version="1.0" encoding="utf-8"?>
<formControlPr xmlns="http://schemas.microsoft.com/office/spreadsheetml/2009/9/main" objectType="Drop" dropStyle="combo" dx="16" fmlaLink="List3!$J$25" fmlaRange="List3!$G$17:$G$28" noThreeD="1" sel="1" val="0"/>
</file>

<file path=xl/ctrlProps/ctrlProp21.xml><?xml version="1.0" encoding="utf-8"?>
<formControlPr xmlns="http://schemas.microsoft.com/office/spreadsheetml/2009/9/main" objectType="Drop" dropStyle="combo" dx="16" fmlaLink="List3!J23" fmlaRange="List3!$L$1:$L$12" noThreeD="1" sel="1" val="0"/>
</file>

<file path=xl/ctrlProps/ctrlProp22.xml><?xml version="1.0" encoding="utf-8"?>
<formControlPr xmlns="http://schemas.microsoft.com/office/spreadsheetml/2009/9/main" objectType="Drop" dropStyle="combo" dx="16" fmlaLink="List3!G43" fmlaRange="List3!$C$44:$C$48" noThreeD="1" sel="1" val="0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10</xdr:row>
          <xdr:rowOff>190500</xdr:rowOff>
        </xdr:from>
        <xdr:to>
          <xdr:col>9</xdr:col>
          <xdr:colOff>19050</xdr:colOff>
          <xdr:row>12</xdr:row>
          <xdr:rowOff>9525</xdr:rowOff>
        </xdr:to>
        <xdr:sp macro="" textlink="">
          <xdr:nvSpPr>
            <xdr:cNvPr id="1026" name="Drop Down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180975</xdr:colOff>
          <xdr:row>13</xdr:row>
          <xdr:rowOff>200025</xdr:rowOff>
        </xdr:from>
        <xdr:to>
          <xdr:col>2</xdr:col>
          <xdr:colOff>600075</xdr:colOff>
          <xdr:row>15</xdr:row>
          <xdr:rowOff>19050</xdr:rowOff>
        </xdr:to>
        <xdr:sp macro="" textlink="">
          <xdr:nvSpPr>
            <xdr:cNvPr id="1028" name="Drop Down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17</xdr:row>
          <xdr:rowOff>0</xdr:rowOff>
        </xdr:from>
        <xdr:to>
          <xdr:col>8</xdr:col>
          <xdr:colOff>9525</xdr:colOff>
          <xdr:row>18</xdr:row>
          <xdr:rowOff>0</xdr:rowOff>
        </xdr:to>
        <xdr:sp macro="" textlink="">
          <xdr:nvSpPr>
            <xdr:cNvPr id="1030" name="Drop Down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13</xdr:row>
          <xdr:rowOff>190500</xdr:rowOff>
        </xdr:from>
        <xdr:to>
          <xdr:col>8</xdr:col>
          <xdr:colOff>0</xdr:colOff>
          <xdr:row>15</xdr:row>
          <xdr:rowOff>9525</xdr:rowOff>
        </xdr:to>
        <xdr:sp macro="" textlink="">
          <xdr:nvSpPr>
            <xdr:cNvPr id="1032" name="Drop Down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13</xdr:row>
          <xdr:rowOff>190500</xdr:rowOff>
        </xdr:from>
        <xdr:to>
          <xdr:col>4</xdr:col>
          <xdr:colOff>600075</xdr:colOff>
          <xdr:row>15</xdr:row>
          <xdr:rowOff>9525</xdr:rowOff>
        </xdr:to>
        <xdr:sp macro="" textlink="">
          <xdr:nvSpPr>
            <xdr:cNvPr id="1034" name="Drop Down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180975</xdr:colOff>
          <xdr:row>19</xdr:row>
          <xdr:rowOff>190500</xdr:rowOff>
        </xdr:from>
        <xdr:to>
          <xdr:col>3</xdr:col>
          <xdr:colOff>0</xdr:colOff>
          <xdr:row>21</xdr:row>
          <xdr:rowOff>0</xdr:rowOff>
        </xdr:to>
        <xdr:sp macro="" textlink="">
          <xdr:nvSpPr>
            <xdr:cNvPr id="1035" name="Drop Down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</xdr:colOff>
          <xdr:row>19</xdr:row>
          <xdr:rowOff>190500</xdr:rowOff>
        </xdr:from>
        <xdr:to>
          <xdr:col>8</xdr:col>
          <xdr:colOff>9525</xdr:colOff>
          <xdr:row>21</xdr:row>
          <xdr:rowOff>9525</xdr:rowOff>
        </xdr:to>
        <xdr:sp macro="" textlink="">
          <xdr:nvSpPr>
            <xdr:cNvPr id="1037" name="Drop Down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600075</xdr:colOff>
          <xdr:row>13</xdr:row>
          <xdr:rowOff>190500</xdr:rowOff>
        </xdr:from>
        <xdr:to>
          <xdr:col>10</xdr:col>
          <xdr:colOff>600075</xdr:colOff>
          <xdr:row>15</xdr:row>
          <xdr:rowOff>9525</xdr:rowOff>
        </xdr:to>
        <xdr:sp macro="" textlink="">
          <xdr:nvSpPr>
            <xdr:cNvPr id="1039" name="Drop Down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16</xdr:row>
          <xdr:rowOff>209550</xdr:rowOff>
        </xdr:from>
        <xdr:to>
          <xdr:col>3</xdr:col>
          <xdr:colOff>0</xdr:colOff>
          <xdr:row>18</xdr:row>
          <xdr:rowOff>9525</xdr:rowOff>
        </xdr:to>
        <xdr:sp macro="" textlink="">
          <xdr:nvSpPr>
            <xdr:cNvPr id="1041" name="Drop Down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600075</xdr:colOff>
          <xdr:row>16</xdr:row>
          <xdr:rowOff>209550</xdr:rowOff>
        </xdr:from>
        <xdr:to>
          <xdr:col>4</xdr:col>
          <xdr:colOff>609600</xdr:colOff>
          <xdr:row>18</xdr:row>
          <xdr:rowOff>9525</xdr:rowOff>
        </xdr:to>
        <xdr:sp macro="" textlink="">
          <xdr:nvSpPr>
            <xdr:cNvPr id="1044" name="Drop Down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18</xdr:col>
          <xdr:colOff>85725</xdr:colOff>
          <xdr:row>3</xdr:row>
          <xdr:rowOff>180975</xdr:rowOff>
        </xdr:from>
        <xdr:to>
          <xdr:col>20</xdr:col>
          <xdr:colOff>666750</xdr:colOff>
          <xdr:row>5</xdr:row>
          <xdr:rowOff>9525</xdr:rowOff>
        </xdr:to>
        <xdr:sp macro="" textlink="">
          <xdr:nvSpPr>
            <xdr:cNvPr id="1046" name="Drop Down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6</xdr:row>
          <xdr:rowOff>190500</xdr:rowOff>
        </xdr:from>
        <xdr:to>
          <xdr:col>21</xdr:col>
          <xdr:colOff>0</xdr:colOff>
          <xdr:row>8</xdr:row>
          <xdr:rowOff>9525</xdr:rowOff>
        </xdr:to>
        <xdr:sp macro="" textlink="">
          <xdr:nvSpPr>
            <xdr:cNvPr id="1048" name="Drop Down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21</xdr:col>
          <xdr:colOff>9525</xdr:colOff>
          <xdr:row>6</xdr:row>
          <xdr:rowOff>190500</xdr:rowOff>
        </xdr:from>
        <xdr:to>
          <xdr:col>23</xdr:col>
          <xdr:colOff>0</xdr:colOff>
          <xdr:row>8</xdr:row>
          <xdr:rowOff>9525</xdr:rowOff>
        </xdr:to>
        <xdr:sp macro="" textlink="">
          <xdr:nvSpPr>
            <xdr:cNvPr id="1051" name="Drop Down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4</xdr:col>
          <xdr:colOff>0</xdr:colOff>
          <xdr:row>8</xdr:row>
          <xdr:rowOff>0</xdr:rowOff>
        </xdr:from>
        <xdr:to>
          <xdr:col>6</xdr:col>
          <xdr:colOff>9525</xdr:colOff>
          <xdr:row>9</xdr:row>
          <xdr:rowOff>0</xdr:rowOff>
        </xdr:to>
        <xdr:sp macro="" textlink="">
          <xdr:nvSpPr>
            <xdr:cNvPr id="2049" name="Drop Down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1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</xdr:col>
          <xdr:colOff>38100</xdr:colOff>
          <xdr:row>12</xdr:row>
          <xdr:rowOff>9525</xdr:rowOff>
        </xdr:from>
        <xdr:to>
          <xdr:col>3</xdr:col>
          <xdr:colOff>9525</xdr:colOff>
          <xdr:row>13</xdr:row>
          <xdr:rowOff>9525</xdr:rowOff>
        </xdr:to>
        <xdr:sp macro="" textlink="">
          <xdr:nvSpPr>
            <xdr:cNvPr id="2050" name="Drop Down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1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4</xdr:col>
          <xdr:colOff>9525</xdr:colOff>
          <xdr:row>11</xdr:row>
          <xdr:rowOff>228600</xdr:rowOff>
        </xdr:from>
        <xdr:to>
          <xdr:col>6</xdr:col>
          <xdr:colOff>9525</xdr:colOff>
          <xdr:row>12</xdr:row>
          <xdr:rowOff>190500</xdr:rowOff>
        </xdr:to>
        <xdr:sp macro="" textlink="">
          <xdr:nvSpPr>
            <xdr:cNvPr id="2051" name="Drop Down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1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6</xdr:col>
          <xdr:colOff>114300</xdr:colOff>
          <xdr:row>20</xdr:row>
          <xdr:rowOff>200025</xdr:rowOff>
        </xdr:from>
        <xdr:to>
          <xdr:col>8</xdr:col>
          <xdr:colOff>771525</xdr:colOff>
          <xdr:row>22</xdr:row>
          <xdr:rowOff>0</xdr:rowOff>
        </xdr:to>
        <xdr:sp macro="" textlink="">
          <xdr:nvSpPr>
            <xdr:cNvPr id="2052" name="Drop Down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1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</xdr:col>
          <xdr:colOff>9525</xdr:colOff>
          <xdr:row>21</xdr:row>
          <xdr:rowOff>9525</xdr:rowOff>
        </xdr:from>
        <xdr:to>
          <xdr:col>3</xdr:col>
          <xdr:colOff>9525</xdr:colOff>
          <xdr:row>22</xdr:row>
          <xdr:rowOff>9525</xdr:rowOff>
        </xdr:to>
        <xdr:sp macro="" textlink="">
          <xdr:nvSpPr>
            <xdr:cNvPr id="2053" name="Drop Down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1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6</xdr:col>
          <xdr:colOff>95250</xdr:colOff>
          <xdr:row>24</xdr:row>
          <xdr:rowOff>0</xdr:rowOff>
        </xdr:from>
        <xdr:to>
          <xdr:col>9</xdr:col>
          <xdr:colOff>9525</xdr:colOff>
          <xdr:row>25</xdr:row>
          <xdr:rowOff>38100</xdr:rowOff>
        </xdr:to>
        <xdr:sp macro="" textlink="">
          <xdr:nvSpPr>
            <xdr:cNvPr id="2054" name="Drop Down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1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95250</xdr:colOff>
          <xdr:row>29</xdr:row>
          <xdr:rowOff>209550</xdr:rowOff>
        </xdr:from>
        <xdr:to>
          <xdr:col>2</xdr:col>
          <xdr:colOff>571500</xdr:colOff>
          <xdr:row>30</xdr:row>
          <xdr:rowOff>190500</xdr:rowOff>
        </xdr:to>
        <xdr:sp macro="" textlink="">
          <xdr:nvSpPr>
            <xdr:cNvPr id="2055" name="Drop Down 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00000000-0008-0000-0100-00000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9525</xdr:colOff>
          <xdr:row>29</xdr:row>
          <xdr:rowOff>209550</xdr:rowOff>
        </xdr:from>
        <xdr:to>
          <xdr:col>9</xdr:col>
          <xdr:colOff>0</xdr:colOff>
          <xdr:row>31</xdr:row>
          <xdr:rowOff>9525</xdr:rowOff>
        </xdr:to>
        <xdr:sp macro="" textlink="">
          <xdr:nvSpPr>
            <xdr:cNvPr id="2056" name="Drop Down 8" hidden="1">
              <a:extLst>
                <a:ext uri="{63B3BB69-23CF-44E3-9099-C40C66FF867C}">
                  <a14:compatExt spid="_x0000_s2056"/>
                </a:ext>
                <a:ext uri="{FF2B5EF4-FFF2-40B4-BE49-F238E27FC236}">
                  <a16:creationId xmlns:a16="http://schemas.microsoft.com/office/drawing/2014/main" id="{00000000-0008-0000-0100-00000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6</xdr:col>
          <xdr:colOff>114300</xdr:colOff>
          <xdr:row>32</xdr:row>
          <xdr:rowOff>209550</xdr:rowOff>
        </xdr:from>
        <xdr:to>
          <xdr:col>9</xdr:col>
          <xdr:colOff>28575</xdr:colOff>
          <xdr:row>34</xdr:row>
          <xdr:rowOff>28575</xdr:rowOff>
        </xdr:to>
        <xdr:sp macro="" textlink="">
          <xdr:nvSpPr>
            <xdr:cNvPr id="2057" name="Drop Down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00000000-0008-0000-0100-00000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8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17.xml"/><Relationship Id="rId12" Type="http://schemas.openxmlformats.org/officeDocument/2006/relationships/ctrlProp" Target="../ctrlProps/ctrlProp2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16.xml"/><Relationship Id="rId11" Type="http://schemas.openxmlformats.org/officeDocument/2006/relationships/ctrlProp" Target="../ctrlProps/ctrlProp21.xml"/><Relationship Id="rId5" Type="http://schemas.openxmlformats.org/officeDocument/2006/relationships/ctrlProp" Target="../ctrlProps/ctrlProp15.xml"/><Relationship Id="rId10" Type="http://schemas.openxmlformats.org/officeDocument/2006/relationships/ctrlProp" Target="../ctrlProps/ctrlProp20.xml"/><Relationship Id="rId4" Type="http://schemas.openxmlformats.org/officeDocument/2006/relationships/ctrlProp" Target="../ctrlProps/ctrlProp14.xml"/><Relationship Id="rId9" Type="http://schemas.openxmlformats.org/officeDocument/2006/relationships/ctrlProp" Target="../ctrlProps/ctrlProp19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1"/>
  <dimension ref="A1:Y46"/>
  <sheetViews>
    <sheetView showGridLines="0" showZeros="0" tabSelected="1" zoomScaleNormal="100" workbookViewId="0">
      <selection activeCell="B9" sqref="B9:E9"/>
    </sheetView>
  </sheetViews>
  <sheetFormatPr defaultColWidth="0" defaultRowHeight="15" zeroHeight="1" x14ac:dyDescent="0.25"/>
  <cols>
    <col min="1" max="1" width="2.7109375" customWidth="1"/>
    <col min="2" max="5" width="9.140625" customWidth="1"/>
    <col min="6" max="6" width="2.85546875" customWidth="1"/>
    <col min="7" max="11" width="9.140625" customWidth="1"/>
    <col min="12" max="12" width="2.140625" customWidth="1"/>
    <col min="13" max="18" width="9.140625" customWidth="1"/>
    <col min="19" max="19" width="1.28515625" style="43" customWidth="1"/>
    <col min="20" max="20" width="9.140625" customWidth="1"/>
    <col min="21" max="21" width="10" customWidth="1"/>
    <col min="22" max="22" width="10.28515625" customWidth="1"/>
    <col min="23" max="23" width="11.42578125" customWidth="1"/>
    <col min="24" max="24" width="2.140625" style="43" customWidth="1"/>
    <col min="25" max="25" width="2.5703125" customWidth="1"/>
    <col min="26" max="16384" width="9.140625" hidden="1"/>
  </cols>
  <sheetData>
    <row r="1" spans="1:24" x14ac:dyDescent="0.25">
      <c r="A1" s="197" t="s">
        <v>44</v>
      </c>
      <c r="B1" s="197"/>
      <c r="C1" s="197"/>
      <c r="D1" s="197"/>
      <c r="E1" s="197"/>
      <c r="F1" s="44"/>
      <c r="G1" s="201" t="s">
        <v>145</v>
      </c>
      <c r="H1" s="197"/>
      <c r="I1" s="197"/>
      <c r="J1" s="197"/>
      <c r="K1" s="202"/>
      <c r="L1" s="43"/>
      <c r="M1" s="216" t="s">
        <v>88</v>
      </c>
      <c r="N1" s="217"/>
      <c r="O1" s="217"/>
      <c r="P1" s="217"/>
      <c r="Q1" s="217"/>
      <c r="R1" s="218"/>
      <c r="S1" s="100" t="s">
        <v>7</v>
      </c>
      <c r="T1" s="81" t="s">
        <v>115</v>
      </c>
      <c r="U1" s="81"/>
      <c r="V1" s="81"/>
      <c r="W1" s="82"/>
      <c r="X1" s="99"/>
    </row>
    <row r="2" spans="1:24" x14ac:dyDescent="0.25">
      <c r="A2" s="197"/>
      <c r="B2" s="197"/>
      <c r="C2" s="197"/>
      <c r="D2" s="197"/>
      <c r="E2" s="197"/>
      <c r="F2" s="44"/>
      <c r="G2" s="197"/>
      <c r="H2" s="197"/>
      <c r="I2" s="197"/>
      <c r="J2" s="197"/>
      <c r="K2" s="202"/>
      <c r="L2" s="43"/>
      <c r="M2" s="219"/>
      <c r="N2" s="220"/>
      <c r="O2" s="220"/>
      <c r="P2" s="220"/>
      <c r="Q2" s="220"/>
      <c r="R2" s="221"/>
      <c r="T2" s="241" t="s">
        <v>119</v>
      </c>
      <c r="U2" s="241"/>
      <c r="V2" s="241"/>
      <c r="W2" s="241"/>
      <c r="X2" s="99"/>
    </row>
    <row r="3" spans="1:24" x14ac:dyDescent="0.25">
      <c r="A3" s="197"/>
      <c r="B3" s="197"/>
      <c r="C3" s="197"/>
      <c r="D3" s="197"/>
      <c r="E3" s="197"/>
      <c r="F3" s="44"/>
      <c r="G3" s="197"/>
      <c r="H3" s="197"/>
      <c r="I3" s="197"/>
      <c r="J3" s="197"/>
      <c r="K3" s="202"/>
      <c r="L3" s="43"/>
      <c r="M3" s="222"/>
      <c r="N3" s="223"/>
      <c r="O3" s="223"/>
      <c r="P3" s="223"/>
      <c r="Q3" s="223"/>
      <c r="R3" s="224"/>
      <c r="T3" s="241"/>
      <c r="U3" s="241"/>
      <c r="V3" s="241"/>
      <c r="W3" s="241"/>
      <c r="X3" s="99"/>
    </row>
    <row r="4" spans="1:24" ht="15.75" thickBot="1" x14ac:dyDescent="0.3">
      <c r="A4" s="197"/>
      <c r="B4" s="197"/>
      <c r="C4" s="197"/>
      <c r="D4" s="197"/>
      <c r="E4" s="197"/>
      <c r="F4" s="44"/>
      <c r="G4" s="197"/>
      <c r="H4" s="197"/>
      <c r="I4" s="197"/>
      <c r="J4" s="197"/>
      <c r="K4" s="202"/>
      <c r="L4" s="43"/>
      <c r="M4" s="60"/>
      <c r="N4" s="34"/>
      <c r="O4" s="34"/>
      <c r="P4" s="34"/>
      <c r="Q4" s="135"/>
      <c r="R4" s="136"/>
      <c r="T4" s="214" t="s">
        <v>118</v>
      </c>
      <c r="U4" s="209"/>
      <c r="V4" s="41" t="s">
        <v>116</v>
      </c>
      <c r="W4" s="41" t="s">
        <v>117</v>
      </c>
      <c r="X4" s="87"/>
    </row>
    <row r="5" spans="1:24" ht="16.5" thickTop="1" thickBot="1" x14ac:dyDescent="0.3">
      <c r="A5" s="197"/>
      <c r="B5" s="197"/>
      <c r="C5" s="197"/>
      <c r="D5" s="197"/>
      <c r="E5" s="197"/>
      <c r="F5" s="44"/>
      <c r="G5" s="197"/>
      <c r="H5" s="197"/>
      <c r="I5" s="197"/>
      <c r="J5" s="197"/>
      <c r="K5" s="202"/>
      <c r="L5" s="43"/>
      <c r="M5" s="61" t="s">
        <v>89</v>
      </c>
      <c r="N5" s="35"/>
      <c r="O5" s="235" t="str">
        <f>IF(ISERROR((List2!D28)),"",(List2!D28))</f>
        <v>Pšenica</v>
      </c>
      <c r="P5" s="236"/>
      <c r="Q5" s="137" t="s">
        <v>154</v>
      </c>
      <c r="R5" s="133" t="s">
        <v>155</v>
      </c>
      <c r="T5" s="210">
        <v>0</v>
      </c>
      <c r="U5" s="212"/>
      <c r="V5" s="39">
        <f>IF(ISERROR((List2!T2)),"",(List2!T2))</f>
        <v>0</v>
      </c>
      <c r="W5" s="39">
        <f>IF(ISERROR((List2!T4)),"",(List2!T4))</f>
        <v>0</v>
      </c>
      <c r="X5" s="87"/>
    </row>
    <row r="6" spans="1:24" ht="15.75" thickTop="1" x14ac:dyDescent="0.25">
      <c r="A6" s="197"/>
      <c r="B6" s="197"/>
      <c r="C6" s="197"/>
      <c r="D6" s="197"/>
      <c r="E6" s="197"/>
      <c r="F6" s="44"/>
      <c r="G6" s="197"/>
      <c r="H6" s="197"/>
      <c r="I6" s="197"/>
      <c r="J6" s="197"/>
      <c r="K6" s="202"/>
      <c r="L6" s="43"/>
      <c r="M6" s="237" t="s">
        <v>142</v>
      </c>
      <c r="N6" s="238"/>
      <c r="O6" s="36">
        <f>IF(ISERROR((J12)),"",(J12))</f>
        <v>0</v>
      </c>
      <c r="P6" s="37" t="s">
        <v>90</v>
      </c>
      <c r="Q6" s="36">
        <f>IF(ISERROR((J9)),"",(J9))</f>
        <v>0</v>
      </c>
      <c r="R6" s="36">
        <f>IF(ISERROR((O6*Q6)),"",(O6*Q6))</f>
        <v>0</v>
      </c>
      <c r="T6" s="84"/>
      <c r="U6" s="85"/>
      <c r="V6" s="86"/>
      <c r="W6" s="86"/>
      <c r="X6" s="87"/>
    </row>
    <row r="7" spans="1:24" ht="15.75" thickBot="1" x14ac:dyDescent="0.3">
      <c r="A7" s="35"/>
      <c r="B7" s="35"/>
      <c r="C7" s="35"/>
      <c r="D7" s="35"/>
      <c r="E7" s="35"/>
      <c r="F7" s="45"/>
      <c r="G7" s="35"/>
      <c r="H7" s="35"/>
      <c r="I7" s="35"/>
      <c r="J7" s="35"/>
      <c r="K7" s="57"/>
      <c r="L7" s="43"/>
      <c r="M7" s="61"/>
      <c r="N7" s="35"/>
      <c r="O7" s="35"/>
      <c r="P7" s="35"/>
      <c r="Q7" s="35"/>
      <c r="R7" s="57"/>
      <c r="T7" s="242" t="s">
        <v>120</v>
      </c>
      <c r="U7" s="213"/>
      <c r="V7" s="213" t="s">
        <v>121</v>
      </c>
      <c r="W7" s="213"/>
      <c r="X7" s="87"/>
    </row>
    <row r="8" spans="1:24" ht="16.5" thickTop="1" thickBot="1" x14ac:dyDescent="0.3">
      <c r="A8" s="35"/>
      <c r="B8" s="209" t="s">
        <v>45</v>
      </c>
      <c r="C8" s="209"/>
      <c r="D8" s="209"/>
      <c r="E8" s="209"/>
      <c r="F8" s="45"/>
      <c r="G8" s="215" t="s">
        <v>46</v>
      </c>
      <c r="H8" s="215"/>
      <c r="I8" s="215"/>
      <c r="J8" s="209" t="s">
        <v>49</v>
      </c>
      <c r="K8" s="230"/>
      <c r="L8" s="43"/>
      <c r="M8" s="61"/>
      <c r="N8" s="35"/>
      <c r="O8" s="38" t="s">
        <v>17</v>
      </c>
      <c r="P8" s="38" t="s">
        <v>18</v>
      </c>
      <c r="Q8" s="38" t="s">
        <v>19</v>
      </c>
      <c r="R8" s="57"/>
      <c r="T8" s="210" t="s">
        <v>124</v>
      </c>
      <c r="U8" s="212"/>
      <c r="V8" s="210" t="s">
        <v>131</v>
      </c>
      <c r="W8" s="212"/>
      <c r="X8" s="87"/>
    </row>
    <row r="9" spans="1:24" ht="16.5" thickTop="1" thickBot="1" x14ac:dyDescent="0.3">
      <c r="A9" s="35"/>
      <c r="B9" s="210"/>
      <c r="C9" s="211"/>
      <c r="D9" s="211"/>
      <c r="E9" s="212"/>
      <c r="F9" s="46"/>
      <c r="G9" s="210"/>
      <c r="H9" s="211"/>
      <c r="I9" s="212"/>
      <c r="J9" s="226"/>
      <c r="K9" s="227"/>
      <c r="L9" s="43"/>
      <c r="M9" s="231" t="s">
        <v>146</v>
      </c>
      <c r="N9" s="232"/>
      <c r="O9" s="39">
        <f>IF(ISERROR((List2!B35)),"",(List2!B35))</f>
        <v>0</v>
      </c>
      <c r="P9" s="39">
        <f>IF(ISERROR((List2!C35)),"",(List2!C35))</f>
        <v>0</v>
      </c>
      <c r="Q9" s="39">
        <f>IF(ISERROR((List2!D35)),"",(List2!D35))</f>
        <v>0</v>
      </c>
      <c r="R9" s="57" t="s">
        <v>91</v>
      </c>
      <c r="T9" s="134"/>
      <c r="U9" s="134"/>
      <c r="V9" s="134"/>
      <c r="W9" s="134"/>
      <c r="X9" s="87"/>
    </row>
    <row r="10" spans="1:24" ht="17.25" thickTop="1" x14ac:dyDescent="0.3">
      <c r="A10" s="35"/>
      <c r="B10" s="35"/>
      <c r="C10" s="35"/>
      <c r="D10" s="35"/>
      <c r="E10" s="35"/>
      <c r="F10" s="45"/>
      <c r="G10" s="35"/>
      <c r="H10" s="35"/>
      <c r="I10" s="35"/>
      <c r="J10" s="35"/>
      <c r="K10" s="57"/>
      <c r="L10" s="43"/>
      <c r="M10" s="61"/>
      <c r="N10" s="35"/>
      <c r="O10" s="239" t="s">
        <v>114</v>
      </c>
      <c r="P10" s="240"/>
      <c r="Q10" s="80" t="str">
        <f>IF(ISERROR((Q11/P11)),"",(Q11/P11))</f>
        <v/>
      </c>
      <c r="R10" s="57"/>
      <c r="T10" s="61" t="s">
        <v>143</v>
      </c>
      <c r="U10" s="35" t="s">
        <v>135</v>
      </c>
      <c r="V10" s="41" t="s">
        <v>144</v>
      </c>
      <c r="W10" s="35" t="s">
        <v>134</v>
      </c>
      <c r="X10" s="87"/>
    </row>
    <row r="11" spans="1:24" ht="15.75" thickBot="1" x14ac:dyDescent="0.3">
      <c r="A11" s="35"/>
      <c r="B11" s="209" t="s">
        <v>47</v>
      </c>
      <c r="C11" s="209"/>
      <c r="D11" s="209"/>
      <c r="E11" s="209"/>
      <c r="F11" s="45"/>
      <c r="G11" s="209" t="s">
        <v>48</v>
      </c>
      <c r="H11" s="209"/>
      <c r="I11" s="209"/>
      <c r="J11" s="209" t="s">
        <v>50</v>
      </c>
      <c r="K11" s="230"/>
      <c r="L11" s="43"/>
      <c r="M11" s="233" t="s">
        <v>147</v>
      </c>
      <c r="N11" s="234"/>
      <c r="O11" s="39" t="str">
        <f>IF(ISERROR((List2!B36)),"",(List2!B36))</f>
        <v/>
      </c>
      <c r="P11" s="39" t="str">
        <f>IF(ISERROR((List2!C36)),"",(List2!C36))</f>
        <v/>
      </c>
      <c r="Q11" s="39" t="str">
        <f>IF(ISERROR((List2!D36)),"",(List2!D36))</f>
        <v/>
      </c>
      <c r="R11" s="62" t="s">
        <v>91</v>
      </c>
      <c r="T11" s="91" t="str">
        <f>IF(ISERROR((ABS(T38))),"",(ABS(T38)))</f>
        <v/>
      </c>
      <c r="U11" s="92" t="str">
        <f>IF(ISERROR((List2!T25)),"",(List2!T25))</f>
        <v/>
      </c>
      <c r="V11" s="138" t="str">
        <f>IF(ISERROR((ABS(T37))),"",(ABS(T37)))</f>
        <v/>
      </c>
      <c r="W11" s="39" t="str">
        <f>IF(ISERROR((List2!T24)),"",(List2!T24))</f>
        <v/>
      </c>
      <c r="X11" s="87"/>
    </row>
    <row r="12" spans="1:24" ht="16.5" thickTop="1" thickBot="1" x14ac:dyDescent="0.3">
      <c r="A12" s="35"/>
      <c r="B12" s="210"/>
      <c r="C12" s="211"/>
      <c r="D12" s="211"/>
      <c r="E12" s="246"/>
      <c r="F12" s="46"/>
      <c r="G12" s="210" t="s">
        <v>157</v>
      </c>
      <c r="H12" s="211"/>
      <c r="I12" s="212"/>
      <c r="J12" s="226"/>
      <c r="K12" s="227"/>
      <c r="L12" s="43"/>
      <c r="M12" s="61"/>
      <c r="N12" s="35"/>
      <c r="O12" s="35"/>
      <c r="P12" s="35"/>
      <c r="Q12" s="35"/>
      <c r="R12" s="57"/>
      <c r="T12" s="88"/>
      <c r="U12" s="89"/>
      <c r="V12" s="89"/>
      <c r="W12" s="89"/>
      <c r="X12" s="90"/>
    </row>
    <row r="13" spans="1:24" ht="16.5" thickTop="1" x14ac:dyDescent="0.25">
      <c r="A13" s="35"/>
      <c r="B13" s="35"/>
      <c r="C13" s="35"/>
      <c r="D13" s="35"/>
      <c r="E13" s="35"/>
      <c r="F13" s="45"/>
      <c r="G13" s="35"/>
      <c r="H13" s="35"/>
      <c r="I13" s="35"/>
      <c r="J13" s="35"/>
      <c r="K13" s="57"/>
      <c r="L13" s="43"/>
      <c r="M13" s="61"/>
      <c r="N13" s="225" t="s">
        <v>92</v>
      </c>
      <c r="O13" s="225"/>
      <c r="P13" s="225"/>
      <c r="Q13" s="225"/>
      <c r="R13" s="57"/>
      <c r="T13" s="198" t="s">
        <v>136</v>
      </c>
      <c r="U13" s="199"/>
      <c r="V13" s="199"/>
      <c r="W13" s="199"/>
      <c r="X13" s="200"/>
    </row>
    <row r="14" spans="1:24" ht="15.75" customHeight="1" thickBot="1" x14ac:dyDescent="0.3">
      <c r="A14" s="35"/>
      <c r="B14" s="209" t="s">
        <v>51</v>
      </c>
      <c r="C14" s="209"/>
      <c r="D14" s="209" t="s">
        <v>138</v>
      </c>
      <c r="E14" s="209"/>
      <c r="F14" s="45"/>
      <c r="G14" s="209" t="s">
        <v>52</v>
      </c>
      <c r="H14" s="209"/>
      <c r="I14" s="35"/>
      <c r="J14" s="209" t="s">
        <v>53</v>
      </c>
      <c r="K14" s="230"/>
      <c r="L14" s="43"/>
      <c r="M14" s="61"/>
      <c r="N14" s="35"/>
      <c r="O14" s="35"/>
      <c r="P14" s="35"/>
      <c r="Q14" s="35"/>
      <c r="R14" s="57"/>
      <c r="T14" s="203" t="str">
        <f>(IF(J18&lt;Q10,"NEPOVOLJAN ODNOS K/P!Izaberite drugu formulaciju NPK sa naglašenim kalijumom!",""))</f>
        <v/>
      </c>
      <c r="U14" s="204"/>
      <c r="V14" s="204"/>
      <c r="W14" s="204"/>
      <c r="X14" s="205"/>
    </row>
    <row r="15" spans="1:24" ht="16.5" customHeight="1" thickTop="1" thickBot="1" x14ac:dyDescent="0.3">
      <c r="A15" s="35"/>
      <c r="B15" s="226"/>
      <c r="C15" s="227"/>
      <c r="D15" s="226"/>
      <c r="E15" s="227"/>
      <c r="F15" s="46"/>
      <c r="G15" s="226" t="s">
        <v>24</v>
      </c>
      <c r="H15" s="227"/>
      <c r="I15" s="35"/>
      <c r="J15" s="226" t="e">
        <v>#N/A</v>
      </c>
      <c r="K15" s="227"/>
      <c r="L15" s="43"/>
      <c r="M15" s="61" t="s">
        <v>148</v>
      </c>
      <c r="N15" s="38" t="s">
        <v>98</v>
      </c>
      <c r="O15" s="38" t="s">
        <v>17</v>
      </c>
      <c r="P15" s="38" t="s">
        <v>18</v>
      </c>
      <c r="Q15" s="38" t="s">
        <v>19</v>
      </c>
      <c r="R15" s="57"/>
      <c r="T15" s="206"/>
      <c r="U15" s="207"/>
      <c r="V15" s="207"/>
      <c r="W15" s="207"/>
      <c r="X15" s="208"/>
    </row>
    <row r="16" spans="1:24" ht="15.75" thickTop="1" x14ac:dyDescent="0.25">
      <c r="A16" s="35"/>
      <c r="B16" s="35"/>
      <c r="C16" s="35"/>
      <c r="D16" s="35"/>
      <c r="E16" s="35"/>
      <c r="F16" s="45"/>
      <c r="G16" s="35"/>
      <c r="H16" s="35"/>
      <c r="I16" s="35"/>
      <c r="J16" s="35"/>
      <c r="K16" s="57"/>
      <c r="L16" s="43"/>
      <c r="M16" s="63"/>
      <c r="N16" s="40" t="str">
        <f>IF(ISERROR((List2!U35)),"",(List2!U35))</f>
        <v/>
      </c>
      <c r="O16" s="40" t="str">
        <f>IF(ISERROR((List2!Q21)),"",(List2!Q21))</f>
        <v/>
      </c>
      <c r="P16" s="40" t="str">
        <f>IF(ISERROR((List2!R21)),"",(List2!R21))</f>
        <v/>
      </c>
      <c r="Q16" s="40" t="str">
        <f>IF(ISERROR((List2!S21)),"",(List2!S21))</f>
        <v/>
      </c>
      <c r="R16" s="62" t="s">
        <v>91</v>
      </c>
      <c r="T16" s="206" t="str">
        <f>(IF(J18&gt;Q10,"NEPOVOLJAN ODNOS K/P!Izaberite drugu formulaciju NPK sa manjim sadržajem kalijuma!",""))</f>
        <v/>
      </c>
      <c r="U16" s="207"/>
      <c r="V16" s="207"/>
      <c r="W16" s="207"/>
      <c r="X16" s="208"/>
    </row>
    <row r="17" spans="1:24" ht="17.25" thickBot="1" x14ac:dyDescent="0.3">
      <c r="A17" s="35"/>
      <c r="B17" s="209" t="s">
        <v>106</v>
      </c>
      <c r="C17" s="209"/>
      <c r="D17" s="209" t="s">
        <v>107</v>
      </c>
      <c r="E17" s="209"/>
      <c r="F17" s="45"/>
      <c r="G17" s="209" t="s">
        <v>54</v>
      </c>
      <c r="H17" s="209"/>
      <c r="I17" s="35"/>
      <c r="J17" s="209" t="s">
        <v>93</v>
      </c>
      <c r="K17" s="230"/>
      <c r="L17" s="43"/>
      <c r="M17" s="61" t="s">
        <v>85</v>
      </c>
      <c r="N17" s="35"/>
      <c r="O17" s="35"/>
      <c r="P17" s="35"/>
      <c r="Q17" s="35"/>
      <c r="R17" s="57"/>
      <c r="T17" s="206"/>
      <c r="U17" s="207"/>
      <c r="V17" s="207"/>
      <c r="W17" s="207"/>
      <c r="X17" s="208"/>
    </row>
    <row r="18" spans="1:24" ht="16.5" thickTop="1" thickBot="1" x14ac:dyDescent="0.3">
      <c r="A18" s="35"/>
      <c r="B18" s="226" t="s">
        <v>27</v>
      </c>
      <c r="C18" s="227"/>
      <c r="D18" s="226" t="s">
        <v>29</v>
      </c>
      <c r="E18" s="227"/>
      <c r="F18" s="69"/>
      <c r="G18" s="245" t="s">
        <v>66</v>
      </c>
      <c r="H18" s="227"/>
      <c r="I18" s="35"/>
      <c r="J18" s="228" t="str">
        <f>IF(ISERROR((List2!E27)),"",(List2!E27))</f>
        <v/>
      </c>
      <c r="K18" s="229"/>
      <c r="L18" s="43"/>
      <c r="M18" s="78" t="str">
        <f>IF(ISERROR((List2!A28)),"",(List2!A28))</f>
        <v/>
      </c>
      <c r="N18" s="38" t="s">
        <v>94</v>
      </c>
      <c r="O18" s="38" t="s">
        <v>17</v>
      </c>
      <c r="P18" s="38" t="s">
        <v>18</v>
      </c>
      <c r="Q18" s="38" t="s">
        <v>19</v>
      </c>
      <c r="R18" s="57"/>
      <c r="T18" s="206"/>
      <c r="U18" s="207"/>
      <c r="V18" s="207"/>
      <c r="W18" s="207"/>
      <c r="X18" s="208"/>
    </row>
    <row r="19" spans="1:24" ht="15.75" customHeight="1" thickTop="1" x14ac:dyDescent="0.25">
      <c r="A19" s="35"/>
      <c r="B19" s="35"/>
      <c r="C19" s="35"/>
      <c r="D19" s="35"/>
      <c r="E19" s="35"/>
      <c r="F19" s="45"/>
      <c r="G19" s="35"/>
      <c r="H19" s="35"/>
      <c r="I19" s="35"/>
      <c r="J19" s="35"/>
      <c r="K19" s="57"/>
      <c r="L19" s="43"/>
      <c r="M19" s="61"/>
      <c r="N19" s="39" t="str">
        <f>IF(ISERROR((List2!F36)),"",(List2!F36))</f>
        <v/>
      </c>
      <c r="O19" s="39" t="str">
        <f>IF(ISERROR((List2!G36)),"",(List2!G36))</f>
        <v/>
      </c>
      <c r="P19" s="39" t="str">
        <f>IF(ISERROR((List2!H36)),"",(List2!H36))</f>
        <v/>
      </c>
      <c r="Q19" s="39" t="str">
        <f>IF(ISERROR((List2!I36)),"",(List2!I36))</f>
        <v/>
      </c>
      <c r="R19" s="57" t="s">
        <v>91</v>
      </c>
      <c r="T19" s="253" t="str">
        <f>(IF(N19&lt;0,"VIŠAK HRANJIVA!Izaberite drugu formulaciju NPK; isključite stajnjak ili startno đubrenje!",""))</f>
        <v/>
      </c>
      <c r="U19" s="254"/>
      <c r="V19" s="254"/>
      <c r="W19" s="254"/>
      <c r="X19" s="94"/>
    </row>
    <row r="20" spans="1:24" ht="15.75" thickBot="1" x14ac:dyDescent="0.3">
      <c r="A20" s="35"/>
      <c r="B20" s="209" t="s">
        <v>55</v>
      </c>
      <c r="C20" s="209"/>
      <c r="D20" s="209" t="s">
        <v>94</v>
      </c>
      <c r="E20" s="209"/>
      <c r="F20" s="45"/>
      <c r="G20" s="209" t="s">
        <v>100</v>
      </c>
      <c r="H20" s="209"/>
      <c r="I20" s="35" t="s">
        <v>103</v>
      </c>
      <c r="J20" s="209" t="s">
        <v>104</v>
      </c>
      <c r="K20" s="230"/>
      <c r="L20" s="43"/>
      <c r="M20" s="60"/>
      <c r="N20" s="34"/>
      <c r="O20" s="34"/>
      <c r="P20" s="34"/>
      <c r="Q20" s="34"/>
      <c r="R20" s="64"/>
      <c r="T20" s="255"/>
      <c r="U20" s="254"/>
      <c r="V20" s="254"/>
      <c r="W20" s="254"/>
      <c r="X20" s="94"/>
    </row>
    <row r="21" spans="1:24" ht="17.25" thickTop="1" thickBot="1" x14ac:dyDescent="0.3">
      <c r="A21" s="35"/>
      <c r="B21" s="226"/>
      <c r="C21" s="227"/>
      <c r="D21" s="226"/>
      <c r="E21" s="227"/>
      <c r="F21" s="46"/>
      <c r="G21" s="226" t="s">
        <v>128</v>
      </c>
      <c r="H21" s="227"/>
      <c r="I21" s="56" t="str">
        <f>IF(ISERROR((List2!C45)),"",(List2!C45))</f>
        <v>0</v>
      </c>
      <c r="J21" s="247" t="str">
        <f>IF(ISERROR((List2!B45)),"",(List2!B45))</f>
        <v/>
      </c>
      <c r="K21" s="248"/>
      <c r="L21" s="43"/>
      <c r="M21" s="61"/>
      <c r="N21" s="225" t="s">
        <v>99</v>
      </c>
      <c r="O21" s="225"/>
      <c r="P21" s="225"/>
      <c r="Q21" s="225"/>
      <c r="R21" s="57"/>
      <c r="T21" s="258"/>
      <c r="U21" s="259"/>
      <c r="V21" s="259"/>
      <c r="W21" s="259"/>
      <c r="X21" s="94"/>
    </row>
    <row r="22" spans="1:24" ht="15.75" thickTop="1" x14ac:dyDescent="0.25">
      <c r="A22" s="35"/>
      <c r="B22" s="35"/>
      <c r="C22" s="35"/>
      <c r="D22" s="35"/>
      <c r="E22" s="35"/>
      <c r="F22" s="45"/>
      <c r="G22" s="35"/>
      <c r="H22" s="35"/>
      <c r="I22" s="35"/>
      <c r="J22" s="35"/>
      <c r="K22" s="57"/>
      <c r="L22" s="43"/>
      <c r="M22" s="61"/>
      <c r="N22" s="35"/>
      <c r="O22" s="35"/>
      <c r="P22" s="35"/>
      <c r="Q22" s="35"/>
      <c r="R22" s="57"/>
      <c r="T22" s="253" t="str">
        <f>(IF(N41&lt;0,"MANJAK AZOTA!Ako je manjak azota znatan, primjenite prihranu - osim za soju!",""))</f>
        <v/>
      </c>
      <c r="U22" s="254"/>
      <c r="V22" s="254"/>
      <c r="W22" s="254"/>
      <c r="X22" s="94"/>
    </row>
    <row r="23" spans="1:24" x14ac:dyDescent="0.25">
      <c r="A23" s="66"/>
      <c r="B23" s="66"/>
      <c r="C23" s="66"/>
      <c r="D23" s="66"/>
      <c r="E23" s="66"/>
      <c r="F23" s="68"/>
      <c r="G23" s="66"/>
      <c r="H23" s="66"/>
      <c r="I23" s="66"/>
      <c r="J23" s="66"/>
      <c r="K23" s="67"/>
      <c r="L23" s="43"/>
      <c r="M23" s="61">
        <f>IF(ISERROR((B21)),"",(B21))</f>
        <v>0</v>
      </c>
      <c r="N23" s="38" t="s">
        <v>94</v>
      </c>
      <c r="O23" s="38" t="s">
        <v>17</v>
      </c>
      <c r="P23" s="38" t="s">
        <v>18</v>
      </c>
      <c r="Q23" s="38" t="s">
        <v>19</v>
      </c>
      <c r="R23" s="57"/>
      <c r="T23" s="255"/>
      <c r="U23" s="254"/>
      <c r="V23" s="254"/>
      <c r="W23" s="254"/>
      <c r="X23" s="94"/>
    </row>
    <row r="24" spans="1:24" x14ac:dyDescent="0.25">
      <c r="A24" s="47"/>
      <c r="B24" s="48"/>
      <c r="C24" s="48"/>
      <c r="D24" s="48"/>
      <c r="E24" s="48"/>
      <c r="F24" s="48"/>
      <c r="G24" s="48"/>
      <c r="H24" s="48"/>
      <c r="I24" s="48"/>
      <c r="J24" s="48"/>
      <c r="K24" s="58"/>
      <c r="L24" s="43"/>
      <c r="M24" s="150" t="str">
        <f>IF(ISERROR((List2!A25)),"",(List2!A25))</f>
        <v/>
      </c>
      <c r="N24" s="40">
        <f>IF(ISERROR((List2!E41)),"",(List2!E41))</f>
        <v>0</v>
      </c>
      <c r="O24" s="80">
        <f>IF(ISERROR((List2!B39)),"",(List2!B39))</f>
        <v>0</v>
      </c>
      <c r="P24" s="80">
        <f>IF(ISERROR((List2!C39)),"",(List2!C39))</f>
        <v>0</v>
      </c>
      <c r="Q24" s="80">
        <f>IF(ISERROR((List2!D39)),"",(List2!D39))</f>
        <v>0</v>
      </c>
      <c r="R24" s="62" t="s">
        <v>91</v>
      </c>
      <c r="T24" s="256" t="str">
        <f>IF(ISERROR((VLOOKUP(O5,Soja,2,FALSE))),"",(VLOOKUP(O5,Soja,2,FALSE)))</f>
        <v/>
      </c>
      <c r="U24" s="257"/>
      <c r="V24" s="257"/>
      <c r="W24" s="257"/>
      <c r="X24" s="94"/>
    </row>
    <row r="25" spans="1:24" x14ac:dyDescent="0.25">
      <c r="A25" s="49"/>
      <c r="B25" s="243" t="s">
        <v>108</v>
      </c>
      <c r="C25" s="249"/>
      <c r="D25" s="249"/>
      <c r="E25" s="249"/>
      <c r="F25" s="249"/>
      <c r="G25" s="249"/>
      <c r="H25" s="249"/>
      <c r="I25" s="249"/>
      <c r="J25" s="249"/>
      <c r="K25" s="59"/>
      <c r="L25" s="43"/>
      <c r="M25" s="61"/>
      <c r="N25" s="35"/>
      <c r="O25" s="35"/>
      <c r="P25" s="35"/>
      <c r="Q25" s="35"/>
      <c r="R25" s="57"/>
      <c r="T25" s="93"/>
      <c r="U25" s="50"/>
      <c r="V25" s="50"/>
      <c r="W25" s="50"/>
      <c r="X25" s="94"/>
    </row>
    <row r="26" spans="1:24" ht="15.75" customHeight="1" x14ac:dyDescent="0.25">
      <c r="A26" s="49"/>
      <c r="B26" s="50"/>
      <c r="C26" s="50"/>
      <c r="D26" s="50"/>
      <c r="E26" s="50"/>
      <c r="F26" s="50"/>
      <c r="G26" s="50"/>
      <c r="H26" s="50"/>
      <c r="I26" s="50"/>
      <c r="J26" s="50"/>
      <c r="K26" s="59"/>
      <c r="L26" s="43"/>
      <c r="M26" s="61"/>
      <c r="N26" s="225" t="s">
        <v>100</v>
      </c>
      <c r="O26" s="225"/>
      <c r="P26" s="225"/>
      <c r="Q26" s="225"/>
      <c r="R26" s="57"/>
      <c r="T26" s="253" t="str">
        <f>(IF(N37&gt;0,"VIŠAK AZOTA. Ako je višak azota znatan, promjenite formulaciju NPK, isključite prihranu ili startno đubrenje.",""))</f>
        <v>VIŠAK AZOTA. Ako je višak azota znatan, promjenite formulaciju NPK, isključite prihranu ili startno đubrenje.</v>
      </c>
      <c r="U26" s="254"/>
      <c r="V26" s="254"/>
      <c r="W26" s="254"/>
      <c r="X26" s="250"/>
    </row>
    <row r="27" spans="1:24" ht="15" customHeight="1" x14ac:dyDescent="0.25">
      <c r="A27" s="49"/>
      <c r="B27" s="48"/>
      <c r="C27" s="51"/>
      <c r="D27" s="243" t="s">
        <v>109</v>
      </c>
      <c r="E27" s="244"/>
      <c r="F27" s="244"/>
      <c r="G27" s="244"/>
      <c r="H27" s="244"/>
      <c r="I27" s="48"/>
      <c r="J27" s="48"/>
      <c r="K27" s="58"/>
      <c r="L27" s="43"/>
      <c r="M27" s="61"/>
      <c r="N27" s="35"/>
      <c r="O27" s="35"/>
      <c r="P27" s="35"/>
      <c r="Q27" s="35"/>
      <c r="R27" s="57"/>
      <c r="T27" s="255"/>
      <c r="U27" s="254"/>
      <c r="V27" s="254"/>
      <c r="W27" s="254"/>
      <c r="X27" s="251"/>
    </row>
    <row r="28" spans="1:24" x14ac:dyDescent="0.25">
      <c r="A28" s="49"/>
      <c r="B28" s="48"/>
      <c r="C28" s="48"/>
      <c r="D28" s="51"/>
      <c r="E28" s="48"/>
      <c r="F28" s="48"/>
      <c r="G28" s="51"/>
      <c r="H28" s="51" t="s">
        <v>17</v>
      </c>
      <c r="I28" s="51" t="s">
        <v>18</v>
      </c>
      <c r="J28" s="51" t="s">
        <v>19</v>
      </c>
      <c r="K28" s="58"/>
      <c r="L28" s="43"/>
      <c r="M28" s="61" t="str">
        <f>IF(ISERROR((List2!A43)),"",(List2!A43))</f>
        <v>Bez prih.</v>
      </c>
      <c r="N28" s="39" t="str">
        <f>IF(ISERROR((J21)),"",(J21))</f>
        <v/>
      </c>
      <c r="O28" s="35" t="s">
        <v>91</v>
      </c>
      <c r="P28" s="41" t="s">
        <v>17</v>
      </c>
      <c r="Q28" s="39" t="str">
        <f>IF(ISERROR((I21)),"",(I21))</f>
        <v>0</v>
      </c>
      <c r="R28" s="57" t="s">
        <v>91</v>
      </c>
      <c r="T28" s="260"/>
      <c r="U28" s="261"/>
      <c r="V28" s="261"/>
      <c r="W28" s="261"/>
      <c r="X28" s="252"/>
    </row>
    <row r="29" spans="1:24" ht="15.75" x14ac:dyDescent="0.25">
      <c r="A29" s="49"/>
      <c r="B29" s="52" t="s">
        <v>152</v>
      </c>
      <c r="C29" s="79" t="str">
        <f>IF(ISERROR((List2!U35)),"",(List2!U35))</f>
        <v/>
      </c>
      <c r="D29" s="52" t="s">
        <v>90</v>
      </c>
      <c r="E29" s="79" t="str">
        <f>IF(ISERROR((C29*J9)),"",(C29*J9))</f>
        <v/>
      </c>
      <c r="F29" s="48">
        <f>IF(ISERROR((J9)),"",(J9))</f>
        <v>0</v>
      </c>
      <c r="G29" s="52" t="s">
        <v>112</v>
      </c>
      <c r="H29" s="79" t="str">
        <f>IF(ISERROR((O16)),"0",(O16))</f>
        <v/>
      </c>
      <c r="I29" s="79" t="str">
        <f>IF(ISERROR((P16)),"0",(P16))</f>
        <v/>
      </c>
      <c r="J29" s="79" t="str">
        <f>IF(ISERROR((Q16)),"0",(Q16))</f>
        <v/>
      </c>
      <c r="K29" s="58" t="s">
        <v>91</v>
      </c>
      <c r="L29" s="43"/>
      <c r="M29" s="61"/>
      <c r="N29" s="35"/>
      <c r="O29" s="35"/>
      <c r="P29" s="35"/>
      <c r="Q29" s="35"/>
      <c r="R29" s="57"/>
      <c r="T29" s="253"/>
      <c r="U29" s="254"/>
      <c r="V29" s="254"/>
      <c r="W29" s="254"/>
      <c r="X29" s="101"/>
    </row>
    <row r="30" spans="1:24" x14ac:dyDescent="0.25">
      <c r="A30" s="49"/>
      <c r="B30" s="149" t="str">
        <f>IF(ISERROR((M18)),"",(M18))</f>
        <v/>
      </c>
      <c r="C30" s="53" t="str">
        <f>IF(ISERROR((N19)),"",(N19))</f>
        <v/>
      </c>
      <c r="D30" s="52" t="s">
        <v>91</v>
      </c>
      <c r="E30" s="53" t="str">
        <f>IF(ISERROR((C30*J9)),"",(C30*J9))</f>
        <v/>
      </c>
      <c r="F30" s="48">
        <f>IF(ISERROR((J9)),"",(J9))</f>
        <v>0</v>
      </c>
      <c r="G30" s="48" t="s">
        <v>111</v>
      </c>
      <c r="H30" s="53" t="str">
        <f>IF(ISERROR((O19)),"",(O19))</f>
        <v/>
      </c>
      <c r="I30" s="53" t="str">
        <f>IF(ISERROR((P19)),"",(P19))</f>
        <v/>
      </c>
      <c r="J30" s="53" t="str">
        <f>IF(ISERROR((Q19)),"",(Q19))</f>
        <v/>
      </c>
      <c r="K30" s="58" t="s">
        <v>91</v>
      </c>
      <c r="L30" s="43"/>
      <c r="M30" s="65" t="s">
        <v>149</v>
      </c>
      <c r="N30" s="42"/>
      <c r="O30" s="39" t="str">
        <f>IF(ISERROR((N28/2)),"",(N28/2))</f>
        <v/>
      </c>
      <c r="P30" s="35" t="s">
        <v>94</v>
      </c>
      <c r="Q30" s="35" t="str">
        <f>IF(ISERROR((M28)),"",(M28))</f>
        <v>Bez prih.</v>
      </c>
      <c r="R30" s="57"/>
      <c r="T30" s="93"/>
      <c r="U30" s="50"/>
      <c r="V30" s="50"/>
      <c r="W30" s="50"/>
      <c r="X30" s="94"/>
    </row>
    <row r="31" spans="1:24" x14ac:dyDescent="0.25">
      <c r="A31" s="49"/>
      <c r="B31" s="52"/>
      <c r="C31" s="51"/>
      <c r="D31" s="51"/>
      <c r="E31" s="48"/>
      <c r="F31" s="48"/>
      <c r="G31" s="48"/>
      <c r="H31" s="48"/>
      <c r="I31" s="48"/>
      <c r="J31" s="48"/>
      <c r="K31" s="58"/>
      <c r="L31" s="43"/>
      <c r="M31" s="63" t="s">
        <v>150</v>
      </c>
      <c r="N31" s="37"/>
      <c r="O31" s="39" t="str">
        <f>IF(ISERROR((N28/2)),"",(N28/2))</f>
        <v/>
      </c>
      <c r="P31" s="37" t="s">
        <v>103</v>
      </c>
      <c r="Q31" s="37" t="str">
        <f>IF(ISERROR((M28)),"",(M28))</f>
        <v>Bez prih.</v>
      </c>
      <c r="R31" s="62"/>
      <c r="T31" s="93"/>
      <c r="U31" s="50"/>
      <c r="V31" s="50"/>
      <c r="W31" s="50"/>
      <c r="X31" s="94"/>
    </row>
    <row r="32" spans="1:24" ht="15" customHeight="1" x14ac:dyDescent="0.25">
      <c r="A32" s="49"/>
      <c r="B32" s="52"/>
      <c r="C32" s="51"/>
      <c r="D32" s="243" t="s">
        <v>110</v>
      </c>
      <c r="E32" s="244"/>
      <c r="F32" s="244"/>
      <c r="G32" s="244"/>
      <c r="H32" s="244"/>
      <c r="I32" s="48"/>
      <c r="J32" s="48"/>
      <c r="K32" s="58"/>
      <c r="L32" s="43"/>
      <c r="M32" s="60"/>
      <c r="N32" s="34"/>
      <c r="O32" s="34"/>
      <c r="P32" s="34"/>
      <c r="Q32" s="34"/>
      <c r="R32" s="64"/>
      <c r="T32" s="253" t="str">
        <f>(IF(P37&lt;0,"MANJAK KALIJUMA! Ako nedostaje više od 15 kg K2O, izvršite korekciju!!",""))</f>
        <v/>
      </c>
      <c r="U32" s="254"/>
      <c r="V32" s="254"/>
      <c r="W32" s="254"/>
      <c r="X32" s="94"/>
    </row>
    <row r="33" spans="1:24" ht="15.75" x14ac:dyDescent="0.25">
      <c r="A33" s="49"/>
      <c r="B33" s="52" t="str">
        <f>IF(ISERROR((List2!A25)),"",(List2!A25))</f>
        <v/>
      </c>
      <c r="C33" s="79">
        <f>IF(ISERROR((N24)),"",(N24))</f>
        <v>0</v>
      </c>
      <c r="D33" s="48" t="s">
        <v>91</v>
      </c>
      <c r="E33" s="79">
        <f>IF(ISERROR((C33*J9)),"",(C33*J9))</f>
        <v>0</v>
      </c>
      <c r="F33" s="48">
        <f>IF(ISERROR((J9)),"",(J9))</f>
        <v>0</v>
      </c>
      <c r="G33" s="48" t="s">
        <v>111</v>
      </c>
      <c r="H33" s="79">
        <f>IF(ISERROR((O24)),"",(O24))</f>
        <v>0</v>
      </c>
      <c r="I33" s="79">
        <f>IF(ISERROR((P24)),"",(P24))</f>
        <v>0</v>
      </c>
      <c r="J33" s="79">
        <f>IF(ISERROR((Q24)),"",(Q24))</f>
        <v>0</v>
      </c>
      <c r="K33" s="58" t="s">
        <v>91</v>
      </c>
      <c r="L33" s="43"/>
      <c r="M33" s="61"/>
      <c r="N33" s="225" t="s">
        <v>162</v>
      </c>
      <c r="O33" s="225"/>
      <c r="P33" s="225"/>
      <c r="Q33" s="225"/>
      <c r="R33" s="57"/>
      <c r="T33" s="255"/>
      <c r="U33" s="254"/>
      <c r="V33" s="254"/>
      <c r="W33" s="254"/>
      <c r="X33" s="94"/>
    </row>
    <row r="34" spans="1:24" x14ac:dyDescent="0.25">
      <c r="A34" s="49"/>
      <c r="B34" s="55"/>
      <c r="C34" s="50"/>
      <c r="D34" s="50"/>
      <c r="E34" s="50"/>
      <c r="F34" s="50"/>
      <c r="G34" s="50"/>
      <c r="H34" s="50"/>
      <c r="I34" s="50"/>
      <c r="J34" s="50"/>
      <c r="K34" s="59"/>
      <c r="L34" s="43"/>
      <c r="M34" s="61"/>
      <c r="N34" s="35"/>
      <c r="O34" s="35"/>
      <c r="P34" s="35"/>
      <c r="Q34" s="35"/>
      <c r="R34" s="57"/>
      <c r="T34" s="253" t="str">
        <f>(IF(P37&gt;0,"VIŠAK KALIJUMA. Ako norma prelazi preko 15 kg K2O, izaberite drugu formulaciju NPK!",""))</f>
        <v>VIŠAK KALIJUMA. Ako norma prelazi preko 15 kg K2O, izaberite drugu formulaciju NPK!</v>
      </c>
      <c r="U34" s="254"/>
      <c r="V34" s="254"/>
      <c r="W34" s="254"/>
      <c r="X34" s="94"/>
    </row>
    <row r="35" spans="1:24" x14ac:dyDescent="0.25">
      <c r="A35" s="49"/>
      <c r="B35" s="52"/>
      <c r="C35" s="48"/>
      <c r="D35" s="243" t="s">
        <v>100</v>
      </c>
      <c r="E35" s="244"/>
      <c r="F35" s="244"/>
      <c r="G35" s="244"/>
      <c r="H35" s="244"/>
      <c r="I35" s="48"/>
      <c r="J35" s="48"/>
      <c r="K35" s="58"/>
      <c r="L35" s="43"/>
      <c r="M35" s="61"/>
      <c r="N35" s="170" t="s">
        <v>17</v>
      </c>
      <c r="O35" s="170" t="s">
        <v>18</v>
      </c>
      <c r="P35" s="170" t="s">
        <v>19</v>
      </c>
      <c r="Q35" s="35" t="s">
        <v>91</v>
      </c>
      <c r="R35" s="57"/>
      <c r="T35" s="255"/>
      <c r="U35" s="254"/>
      <c r="V35" s="254"/>
      <c r="W35" s="254"/>
      <c r="X35" s="94"/>
    </row>
    <row r="36" spans="1:24" x14ac:dyDescent="0.25">
      <c r="A36" s="49"/>
      <c r="B36" s="52" t="str">
        <f>List2!A43</f>
        <v>Bez prih.</v>
      </c>
      <c r="C36" s="53" t="str">
        <f>IF(ISERROR((N28)),"",(N28))</f>
        <v/>
      </c>
      <c r="D36" s="48" t="s">
        <v>91</v>
      </c>
      <c r="E36" s="53" t="str">
        <f>IF(ISERROR((C36*J9)),"",(C36*J9))</f>
        <v/>
      </c>
      <c r="F36" s="48">
        <f>IF(ISERROR((J9)),"",(J9))</f>
        <v>0</v>
      </c>
      <c r="G36" s="48" t="s">
        <v>111</v>
      </c>
      <c r="H36" s="53" t="str">
        <f>IF(ISERROR((Q28)),"",(Q28))</f>
        <v>0</v>
      </c>
      <c r="I36" s="48" t="s">
        <v>113</v>
      </c>
      <c r="J36" s="48"/>
      <c r="K36" s="58"/>
      <c r="L36" s="43"/>
      <c r="M36" s="61"/>
      <c r="N36" s="39" t="str">
        <f>IF(ISERROR((List2!G40)),"",(List2!G40))</f>
        <v/>
      </c>
      <c r="O36" s="39" t="str">
        <f>IF(ISERROR((List2!H40)),"",(List2!H40))</f>
        <v/>
      </c>
      <c r="P36" s="39" t="str">
        <f>IF(ISERROR((List2!I40)),"",(List2!I40))</f>
        <v/>
      </c>
      <c r="Q36" s="35"/>
      <c r="R36" s="57"/>
      <c r="T36" s="260"/>
      <c r="U36" s="261"/>
      <c r="V36" s="261"/>
      <c r="W36" s="261"/>
      <c r="X36" s="94"/>
    </row>
    <row r="37" spans="1:24" x14ac:dyDescent="0.25">
      <c r="A37" s="49"/>
      <c r="B37" s="48"/>
      <c r="C37" s="48"/>
      <c r="D37" s="48"/>
      <c r="E37" s="48"/>
      <c r="F37" s="48"/>
      <c r="G37" s="48"/>
      <c r="H37" s="48"/>
      <c r="I37" s="48"/>
      <c r="J37" s="48"/>
      <c r="K37" s="58"/>
      <c r="L37" s="43"/>
      <c r="M37" s="61" t="s">
        <v>151</v>
      </c>
      <c r="N37" s="39" t="str">
        <f>IF(ISERROR((N36-O11)),"",(N36-O11))</f>
        <v/>
      </c>
      <c r="O37" s="39" t="str">
        <f>IF(ISERROR((List2!C42)),"",(List2!C42))</f>
        <v/>
      </c>
      <c r="P37" s="39" t="str">
        <f>IF(ISERROR((P36-Q11)),"",(P36-Q11))</f>
        <v/>
      </c>
      <c r="Q37" s="35"/>
      <c r="R37" s="57"/>
      <c r="T37" s="95" t="str">
        <f>IF(ISERROR((IF(P37&lt;0,P37,""))),"",(IF(P37&lt;0,P37,"")))</f>
        <v/>
      </c>
      <c r="U37" s="50"/>
      <c r="V37" s="50"/>
      <c r="W37" s="50"/>
      <c r="X37" s="94"/>
    </row>
    <row r="38" spans="1:24" ht="15" customHeight="1" x14ac:dyDescent="0.25">
      <c r="A38" s="49"/>
      <c r="B38" s="50"/>
      <c r="C38" s="50"/>
      <c r="D38" s="50"/>
      <c r="E38" s="70"/>
      <c r="F38" s="71"/>
      <c r="G38" s="71"/>
      <c r="H38" s="72" t="s">
        <v>17</v>
      </c>
      <c r="I38" s="73" t="s">
        <v>18</v>
      </c>
      <c r="J38" s="73" t="s">
        <v>19</v>
      </c>
      <c r="K38" s="74"/>
      <c r="L38" s="43"/>
      <c r="M38" s="178"/>
      <c r="N38" s="179"/>
      <c r="O38" s="179"/>
      <c r="P38" s="179"/>
      <c r="Q38" s="179"/>
      <c r="R38" s="180"/>
      <c r="T38" s="93" t="str">
        <f>IF(ISERROR((IF(O37&lt;0,O37,""))),"",(IF(O37&lt;0,O37,"")))</f>
        <v/>
      </c>
      <c r="U38" s="50"/>
      <c r="V38" s="50"/>
      <c r="W38" s="50"/>
      <c r="X38" s="94"/>
    </row>
    <row r="39" spans="1:24" ht="15.75" x14ac:dyDescent="0.25">
      <c r="A39" s="49"/>
      <c r="B39" s="48"/>
      <c r="C39" s="48"/>
      <c r="D39" s="48"/>
      <c r="E39" s="262" t="s">
        <v>153</v>
      </c>
      <c r="F39" s="263"/>
      <c r="G39" s="263"/>
      <c r="H39" s="54" t="str">
        <f>IF(ISERROR(N46),"",(N46))</f>
        <v/>
      </c>
      <c r="I39" s="54" t="str">
        <f>IF(ISERROR(O36),"",O36)</f>
        <v/>
      </c>
      <c r="J39" s="54" t="str">
        <f>IF(ISERROR(P36),"",P36)</f>
        <v/>
      </c>
      <c r="K39" s="58" t="s">
        <v>91</v>
      </c>
      <c r="L39" s="43"/>
      <c r="M39" s="176"/>
      <c r="N39" s="175"/>
      <c r="O39" s="175"/>
      <c r="P39" s="175"/>
      <c r="Q39" s="175"/>
      <c r="R39" s="177"/>
      <c r="T39" s="264" t="str">
        <f>IF(ISERROR((VLOOKUP(B42,mapom,2,FALSE))),"",(VLOOKUP(B42,mapom,2,FALSE)))</f>
        <v/>
      </c>
      <c r="U39" s="265"/>
      <c r="V39" s="265"/>
      <c r="W39" s="265"/>
      <c r="X39" s="94"/>
    </row>
    <row r="40" spans="1:24" x14ac:dyDescent="0.25">
      <c r="A40" s="75"/>
      <c r="B40" s="76"/>
      <c r="C40" s="76"/>
      <c r="D40" s="76"/>
      <c r="E40" s="76"/>
      <c r="F40" s="76"/>
      <c r="G40" s="76"/>
      <c r="H40" s="76"/>
      <c r="I40" s="76"/>
      <c r="J40" s="76"/>
      <c r="K40" s="77"/>
      <c r="L40" s="43"/>
      <c r="M40" s="182" t="s">
        <v>227</v>
      </c>
      <c r="N40" s="39">
        <f>IF(ISERROR((H42)),"",(H42))</f>
        <v>0</v>
      </c>
      <c r="O40" s="183" t="s">
        <v>103</v>
      </c>
      <c r="P40" s="267" t="str">
        <f>IF(ISERROR((VLOOKUP(B42,mapom,3,FALSE))),"",(VLOOKUP(B42,mapom,3,FALSE)))</f>
        <v/>
      </c>
      <c r="Q40" s="268"/>
      <c r="R40" s="269"/>
      <c r="T40" s="266"/>
      <c r="U40" s="265"/>
      <c r="V40" s="265"/>
      <c r="W40" s="265"/>
      <c r="X40" s="94"/>
    </row>
    <row r="41" spans="1:24" x14ac:dyDescent="0.25">
      <c r="A41" s="172"/>
      <c r="B41" s="173"/>
      <c r="C41" s="173"/>
      <c r="D41" s="173"/>
      <c r="E41" s="70"/>
      <c r="F41" s="173"/>
      <c r="G41" s="173"/>
      <c r="H41" s="173"/>
      <c r="I41" s="173"/>
      <c r="J41" s="173"/>
      <c r="K41" s="174"/>
      <c r="M41" s="184" t="s">
        <v>230</v>
      </c>
      <c r="N41" s="39" t="str">
        <f>IF(ISERROR((N36-N40)),"",(N36-N40))</f>
        <v/>
      </c>
      <c r="O41" s="183" t="s">
        <v>103</v>
      </c>
      <c r="P41" s="268"/>
      <c r="Q41" s="268"/>
      <c r="R41" s="269"/>
      <c r="T41" s="266"/>
      <c r="U41" s="265"/>
      <c r="V41" s="265"/>
      <c r="W41" s="265"/>
      <c r="X41" s="94"/>
    </row>
    <row r="42" spans="1:24" ht="15.75" x14ac:dyDescent="0.25">
      <c r="A42" s="49"/>
      <c r="B42" s="48" t="str">
        <f>IF(ISERROR((List3!B29)),"",(List3!B29))</f>
        <v>Super fosfat</v>
      </c>
      <c r="C42" s="53">
        <f>IF(ISERROR((List3!D38)),"",(List3!D38))</f>
        <v>3250</v>
      </c>
      <c r="D42" s="48" t="s">
        <v>91</v>
      </c>
      <c r="E42" s="262" t="s">
        <v>229</v>
      </c>
      <c r="F42" s="263"/>
      <c r="G42" s="263"/>
      <c r="H42" s="54">
        <f>IF(ISERROR((List2!D47)),"",(List2!D47))</f>
        <v>0</v>
      </c>
      <c r="I42" s="185" t="s">
        <v>233</v>
      </c>
      <c r="J42" s="54" t="str">
        <f>IF(ISERROR((N41)),"",(N41))</f>
        <v/>
      </c>
      <c r="K42" s="58" t="s">
        <v>232</v>
      </c>
      <c r="M42" s="176"/>
      <c r="N42" s="175"/>
      <c r="O42" s="175"/>
      <c r="P42" s="268"/>
      <c r="Q42" s="268"/>
      <c r="R42" s="269"/>
      <c r="T42" s="266"/>
      <c r="U42" s="265"/>
      <c r="V42" s="265"/>
      <c r="W42" s="265"/>
      <c r="X42" s="94"/>
    </row>
    <row r="43" spans="1:24" x14ac:dyDescent="0.25">
      <c r="A43" s="75"/>
      <c r="B43" s="76"/>
      <c r="C43" s="76"/>
      <c r="D43" s="76"/>
      <c r="E43" s="76"/>
      <c r="F43" s="76"/>
      <c r="G43" s="76"/>
      <c r="H43" s="76"/>
      <c r="I43" s="76"/>
      <c r="J43" s="76"/>
      <c r="K43" s="77"/>
      <c r="M43" s="178"/>
      <c r="N43" s="179"/>
      <c r="O43" s="179"/>
      <c r="P43" s="179"/>
      <c r="Q43" s="179"/>
      <c r="R43" s="180"/>
      <c r="T43" s="96"/>
      <c r="U43" s="97"/>
      <c r="V43" s="97"/>
      <c r="W43" s="97"/>
      <c r="X43" s="98"/>
    </row>
    <row r="44" spans="1:24" x14ac:dyDescent="0.25">
      <c r="M44" s="5"/>
      <c r="N44" s="5"/>
      <c r="O44" s="5"/>
      <c r="P44" s="5"/>
      <c r="Q44" s="5"/>
      <c r="R44" s="5"/>
    </row>
    <row r="45" spans="1:24" hidden="1" x14ac:dyDescent="0.25">
      <c r="M45" s="5"/>
      <c r="N45" s="5"/>
      <c r="O45" s="5"/>
      <c r="P45" s="5"/>
      <c r="Q45" s="5"/>
      <c r="R45" s="5"/>
    </row>
    <row r="46" spans="1:24" hidden="1" x14ac:dyDescent="0.25">
      <c r="M46" s="5"/>
      <c r="N46" s="181" t="e">
        <f>O11+N37</f>
        <v>#VALUE!</v>
      </c>
      <c r="O46" s="5"/>
      <c r="P46" s="5"/>
      <c r="Q46" s="5"/>
      <c r="R46" s="5"/>
    </row>
  </sheetData>
  <sheetProtection password="CF7A" sheet="1" objects="1" scenarios="1" selectLockedCells="1"/>
  <dataConsolidate/>
  <mergeCells count="74">
    <mergeCell ref="N33:Q33"/>
    <mergeCell ref="T32:W33"/>
    <mergeCell ref="T34:W36"/>
    <mergeCell ref="E39:G39"/>
    <mergeCell ref="D27:H27"/>
    <mergeCell ref="T29:W29"/>
    <mergeCell ref="T39:W42"/>
    <mergeCell ref="P40:R42"/>
    <mergeCell ref="E42:G42"/>
    <mergeCell ref="X26:X28"/>
    <mergeCell ref="N26:Q26"/>
    <mergeCell ref="T22:W23"/>
    <mergeCell ref="T24:W24"/>
    <mergeCell ref="T19:W21"/>
    <mergeCell ref="T26:W28"/>
    <mergeCell ref="N21:Q21"/>
    <mergeCell ref="J8:K8"/>
    <mergeCell ref="J9:K9"/>
    <mergeCell ref="G9:I9"/>
    <mergeCell ref="D32:H32"/>
    <mergeCell ref="D35:H35"/>
    <mergeCell ref="D18:E18"/>
    <mergeCell ref="G17:H17"/>
    <mergeCell ref="G18:H18"/>
    <mergeCell ref="G20:H20"/>
    <mergeCell ref="G21:H21"/>
    <mergeCell ref="D21:E21"/>
    <mergeCell ref="B12:E12"/>
    <mergeCell ref="J21:K21"/>
    <mergeCell ref="B25:J25"/>
    <mergeCell ref="J20:K20"/>
    <mergeCell ref="B21:C21"/>
    <mergeCell ref="B15:C15"/>
    <mergeCell ref="D14:E14"/>
    <mergeCell ref="D15:E15"/>
    <mergeCell ref="G14:H14"/>
    <mergeCell ref="G15:H15"/>
    <mergeCell ref="B17:C17"/>
    <mergeCell ref="D17:E17"/>
    <mergeCell ref="B18:C18"/>
    <mergeCell ref="B20:C20"/>
    <mergeCell ref="D20:E20"/>
    <mergeCell ref="T16:X18"/>
    <mergeCell ref="M1:R3"/>
    <mergeCell ref="N13:Q13"/>
    <mergeCell ref="J15:K15"/>
    <mergeCell ref="J18:K18"/>
    <mergeCell ref="J11:K11"/>
    <mergeCell ref="J12:K12"/>
    <mergeCell ref="J14:K14"/>
    <mergeCell ref="J17:K17"/>
    <mergeCell ref="M9:N9"/>
    <mergeCell ref="M11:N11"/>
    <mergeCell ref="O5:P5"/>
    <mergeCell ref="M6:N6"/>
    <mergeCell ref="O10:P10"/>
    <mergeCell ref="T2:W3"/>
    <mergeCell ref="T7:U7"/>
    <mergeCell ref="A1:E6"/>
    <mergeCell ref="T13:X13"/>
    <mergeCell ref="G1:K6"/>
    <mergeCell ref="T14:X15"/>
    <mergeCell ref="B11:E11"/>
    <mergeCell ref="G11:I11"/>
    <mergeCell ref="G12:I12"/>
    <mergeCell ref="V7:W7"/>
    <mergeCell ref="T8:U8"/>
    <mergeCell ref="V8:W8"/>
    <mergeCell ref="T4:U4"/>
    <mergeCell ref="T5:U5"/>
    <mergeCell ref="B8:E8"/>
    <mergeCell ref="B9:E9"/>
    <mergeCell ref="G8:I8"/>
    <mergeCell ref="B14:C14"/>
  </mergeCells>
  <conditionalFormatting sqref="P36">
    <cfRule type="cellIs" dxfId="6" priority="14" operator="lessThan">
      <formula>$Q$11</formula>
    </cfRule>
    <cfRule type="cellIs" dxfId="5" priority="15" operator="greaterThan">
      <formula>$Q$11</formula>
    </cfRule>
  </conditionalFormatting>
  <conditionalFormatting sqref="N36">
    <cfRule type="cellIs" dxfId="4" priority="8" operator="greaterThan">
      <formula>$O$11</formula>
    </cfRule>
    <cfRule type="cellIs" dxfId="3" priority="9" operator="lessThan">
      <formula>$O$11</formula>
    </cfRule>
  </conditionalFormatting>
  <conditionalFormatting sqref="J18:K18">
    <cfRule type="cellIs" dxfId="2" priority="1" operator="greaterThan">
      <formula>$Q$10</formula>
    </cfRule>
    <cfRule type="cellIs" dxfId="1" priority="2" operator="lessThan">
      <formula>$Q$10</formula>
    </cfRule>
  </conditionalFormatting>
  <dataValidations count="2">
    <dataValidation type="whole" allowBlank="1" showInputMessage="1" showErrorMessage="1" errorTitle="Upozorenje" error="Ručno unošenje podataka nije dozvoljeno." promptTitle="Odnos fosf. i kalijuma u đubrivu" prompt="Automatski računa odnos fosfora i kalijuma u đubrivu. Nije potreban ručni unos ovog podatka." sqref="J18:K18" xr:uid="{00000000-0002-0000-0000-000000000000}">
      <formula1>0</formula1>
      <formula2>0</formula2>
    </dataValidation>
    <dataValidation type="whole" operator="lessThanOrEqual" allowBlank="1" showInputMessage="1" showErrorMessage="1" errorTitle="Upozorenje" error="Ukupna količina startnog đubriva ne može biti veća od 200 kg/ha" sqref="D21:E21" xr:uid="{00000000-0002-0000-0000-000001000000}">
      <formula1>200</formula1>
    </dataValidation>
  </dataValidation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Drop Down 2">
              <controlPr defaultSize="0" autoLine="0" autoPict="0">
                <anchor moveWithCells="1">
                  <from>
                    <xdr:col>6</xdr:col>
                    <xdr:colOff>19050</xdr:colOff>
                    <xdr:row>10</xdr:row>
                    <xdr:rowOff>190500</xdr:rowOff>
                  </from>
                  <to>
                    <xdr:col>9</xdr:col>
                    <xdr:colOff>19050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5" name="Drop Down 4">
              <controlPr defaultSize="0" autoLine="0" autoPict="0">
                <anchor moveWithCells="1">
                  <from>
                    <xdr:col>0</xdr:col>
                    <xdr:colOff>180975</xdr:colOff>
                    <xdr:row>13</xdr:row>
                    <xdr:rowOff>200025</xdr:rowOff>
                  </from>
                  <to>
                    <xdr:col>2</xdr:col>
                    <xdr:colOff>600075</xdr:colOff>
                    <xdr:row>15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6" name="Drop Down 6">
              <controlPr defaultSize="0" autoLine="0" autoPict="0">
                <anchor moveWithCells="1">
                  <from>
                    <xdr:col>6</xdr:col>
                    <xdr:colOff>0</xdr:colOff>
                    <xdr:row>17</xdr:row>
                    <xdr:rowOff>0</xdr:rowOff>
                  </from>
                  <to>
                    <xdr:col>8</xdr:col>
                    <xdr:colOff>9525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7" name="Drop Down 8">
              <controlPr defaultSize="0" autoLine="0" autoPict="0">
                <anchor moveWithCells="1">
                  <from>
                    <xdr:col>6</xdr:col>
                    <xdr:colOff>0</xdr:colOff>
                    <xdr:row>13</xdr:row>
                    <xdr:rowOff>190500</xdr:rowOff>
                  </from>
                  <to>
                    <xdr:col>8</xdr:col>
                    <xdr:colOff>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8" name="Drop Down 10">
              <controlPr defaultSize="0" autoLine="0" autoPict="0">
                <anchor moveWithCells="1">
                  <from>
                    <xdr:col>3</xdr:col>
                    <xdr:colOff>0</xdr:colOff>
                    <xdr:row>13</xdr:row>
                    <xdr:rowOff>190500</xdr:rowOff>
                  </from>
                  <to>
                    <xdr:col>4</xdr:col>
                    <xdr:colOff>600075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9" name="Drop Down 11">
              <controlPr defaultSize="0" autoLine="0" autoPict="0">
                <anchor moveWithCells="1">
                  <from>
                    <xdr:col>0</xdr:col>
                    <xdr:colOff>180975</xdr:colOff>
                    <xdr:row>19</xdr:row>
                    <xdr:rowOff>190500</xdr:rowOff>
                  </from>
                  <to>
                    <xdr:col>3</xdr:col>
                    <xdr:colOff>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0" name="Drop Down 13">
              <controlPr defaultSize="0" autoLine="0" autoPict="0">
                <anchor moveWithCells="1">
                  <from>
                    <xdr:col>6</xdr:col>
                    <xdr:colOff>9525</xdr:colOff>
                    <xdr:row>19</xdr:row>
                    <xdr:rowOff>190500</xdr:rowOff>
                  </from>
                  <to>
                    <xdr:col>8</xdr:col>
                    <xdr:colOff>9525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1" name="Drop Down 15">
              <controlPr defaultSize="0" autoLine="0" autoPict="0">
                <anchor moveWithCells="1">
                  <from>
                    <xdr:col>8</xdr:col>
                    <xdr:colOff>600075</xdr:colOff>
                    <xdr:row>13</xdr:row>
                    <xdr:rowOff>190500</xdr:rowOff>
                  </from>
                  <to>
                    <xdr:col>10</xdr:col>
                    <xdr:colOff>600075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2" name="Drop Down 17">
              <controlPr defaultSize="0" autoLine="0" autoPict="0">
                <anchor moveWithCells="1">
                  <from>
                    <xdr:col>1</xdr:col>
                    <xdr:colOff>9525</xdr:colOff>
                    <xdr:row>16</xdr:row>
                    <xdr:rowOff>209550</xdr:rowOff>
                  </from>
                  <to>
                    <xdr:col>3</xdr:col>
                    <xdr:colOff>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3" name="Drop Down 20">
              <controlPr defaultSize="0" autoLine="0" autoPict="0">
                <anchor moveWithCells="1">
                  <from>
                    <xdr:col>2</xdr:col>
                    <xdr:colOff>600075</xdr:colOff>
                    <xdr:row>16</xdr:row>
                    <xdr:rowOff>209550</xdr:rowOff>
                  </from>
                  <to>
                    <xdr:col>4</xdr:col>
                    <xdr:colOff>609600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4" name="Drop Down 22">
              <controlPr defaultSize="0" autoLine="0" autoPict="0">
                <anchor>
                  <from>
                    <xdr:col>18</xdr:col>
                    <xdr:colOff>85725</xdr:colOff>
                    <xdr:row>3</xdr:row>
                    <xdr:rowOff>180975</xdr:rowOff>
                  </from>
                  <to>
                    <xdr:col>20</xdr:col>
                    <xdr:colOff>666750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5" name="Drop Down 24">
              <controlPr defaultSize="0" autoLine="0" autoPict="0">
                <anchor moveWithCells="1">
                  <from>
                    <xdr:col>19</xdr:col>
                    <xdr:colOff>0</xdr:colOff>
                    <xdr:row>6</xdr:row>
                    <xdr:rowOff>190500</xdr:rowOff>
                  </from>
                  <to>
                    <xdr:col>21</xdr:col>
                    <xdr:colOff>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16" name="Drop Down 27">
              <controlPr defaultSize="0" autoLine="0" autoPict="0">
                <anchor>
                  <from>
                    <xdr:col>21</xdr:col>
                    <xdr:colOff>9525</xdr:colOff>
                    <xdr:row>6</xdr:row>
                    <xdr:rowOff>190500</xdr:rowOff>
                  </from>
                  <to>
                    <xdr:col>23</xdr:col>
                    <xdr:colOff>0</xdr:colOff>
                    <xdr:row>8</xdr:row>
                    <xdr:rowOff>9525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22" operator="containsText" id="{0E120943-6D64-4459-8A83-2416EADC913B}">
            <xm:f>NOT(ISERROR(SEARCH($T$4+$T$1,T4)))</xm:f>
            <xm:f>$T$4+$T$1</xm:f>
            <x14:dxf>
              <font>
                <color rgb="FF9C0006"/>
              </font>
              <fill>
                <patternFill>
                  <bgColor rgb="FFFFC7CE"/>
                </patternFill>
              </fill>
            </x14:dxf>
          </x14:cfRule>
          <x14:cfRule type="containsText" priority="23" operator="containsText" id="{CA70BEC0-2661-40F0-8E06-8DBD2E1E05B3}">
            <xm:f>NOT(ISERROR(SEARCH(Soja,T4)))</xm:f>
            <xm:f>Soja</xm:f>
            <x14:dxf/>
          </x14:cfRule>
          <xm:sqref>T6:U6 T4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List1"/>
  <dimension ref="A1:N38"/>
  <sheetViews>
    <sheetView showGridLines="0" showZeros="0" topLeftCell="A4" workbookViewId="0">
      <selection activeCell="B34" sqref="B34:C34"/>
    </sheetView>
  </sheetViews>
  <sheetFormatPr defaultColWidth="0" defaultRowHeight="15" zeroHeight="1" x14ac:dyDescent="0.25"/>
  <cols>
    <col min="1" max="1" width="2" customWidth="1"/>
    <col min="2" max="3" width="9.140625" customWidth="1"/>
    <col min="4" max="4" width="2.140625" customWidth="1"/>
    <col min="5" max="6" width="9.140625" customWidth="1"/>
    <col min="7" max="7" width="1.85546875" customWidth="1"/>
    <col min="8" max="8" width="10.7109375" customWidth="1"/>
    <col min="9" max="9" width="11.85546875" customWidth="1"/>
    <col min="10" max="10" width="1.85546875" customWidth="1"/>
    <col min="11" max="11" width="11.5703125" customWidth="1"/>
    <col min="12" max="12" width="12.42578125" customWidth="1"/>
    <col min="13" max="13" width="2" customWidth="1"/>
    <col min="14" max="14" width="2" hidden="1" customWidth="1"/>
    <col min="15" max="16384" width="9.140625" hidden="1"/>
  </cols>
  <sheetData>
    <row r="1" spans="1:13" x14ac:dyDescent="0.25">
      <c r="A1" s="169"/>
      <c r="B1" s="168"/>
      <c r="C1" s="168"/>
      <c r="D1" s="168"/>
      <c r="E1" s="168"/>
      <c r="F1" s="168"/>
      <c r="G1" s="168"/>
      <c r="H1" s="168"/>
      <c r="I1" s="168"/>
      <c r="J1" s="168"/>
      <c r="K1" s="168"/>
      <c r="L1" s="168"/>
      <c r="M1" s="167"/>
    </row>
    <row r="2" spans="1:13" x14ac:dyDescent="0.25">
      <c r="A2" s="154"/>
      <c r="B2" s="86"/>
      <c r="C2" s="270" t="s">
        <v>187</v>
      </c>
      <c r="D2" s="271"/>
      <c r="E2" s="271"/>
      <c r="F2" s="271"/>
      <c r="G2" s="271"/>
      <c r="H2" s="271"/>
      <c r="I2" s="271"/>
      <c r="J2" s="271"/>
      <c r="K2" s="272"/>
      <c r="L2" s="86"/>
      <c r="M2" s="87"/>
    </row>
    <row r="3" spans="1:13" x14ac:dyDescent="0.25">
      <c r="A3" s="154"/>
      <c r="B3" s="86"/>
      <c r="C3" s="273"/>
      <c r="D3" s="274"/>
      <c r="E3" s="274"/>
      <c r="F3" s="274"/>
      <c r="G3" s="274"/>
      <c r="H3" s="274"/>
      <c r="I3" s="274"/>
      <c r="J3" s="274"/>
      <c r="K3" s="275"/>
      <c r="L3" s="86"/>
      <c r="M3" s="87"/>
    </row>
    <row r="4" spans="1:13" x14ac:dyDescent="0.25">
      <c r="A4" s="154"/>
      <c r="B4" s="86"/>
      <c r="C4" s="276"/>
      <c r="D4" s="277"/>
      <c r="E4" s="277"/>
      <c r="F4" s="277"/>
      <c r="G4" s="277"/>
      <c r="H4" s="277"/>
      <c r="I4" s="277"/>
      <c r="J4" s="277"/>
      <c r="K4" s="278"/>
      <c r="L4" s="86"/>
      <c r="M4" s="87"/>
    </row>
    <row r="5" spans="1:13" x14ac:dyDescent="0.25">
      <c r="A5" s="154"/>
      <c r="B5" s="165"/>
      <c r="C5" s="165"/>
      <c r="D5" s="165"/>
      <c r="E5" s="165"/>
      <c r="F5" s="165"/>
      <c r="G5" s="165"/>
      <c r="H5" s="165"/>
      <c r="I5" s="165"/>
      <c r="J5" s="165"/>
      <c r="K5" s="165"/>
      <c r="L5" s="165"/>
      <c r="M5" s="163"/>
    </row>
    <row r="6" spans="1:13" x14ac:dyDescent="0.25">
      <c r="A6" s="154"/>
      <c r="B6" s="165"/>
      <c r="C6" s="165"/>
      <c r="D6" s="165"/>
      <c r="E6" s="165"/>
      <c r="F6" s="165"/>
      <c r="G6" s="165"/>
      <c r="H6" s="165"/>
      <c r="I6" s="165"/>
      <c r="J6" s="165"/>
      <c r="K6" s="165"/>
      <c r="L6" s="165"/>
      <c r="M6" s="163"/>
    </row>
    <row r="7" spans="1:13" x14ac:dyDescent="0.25">
      <c r="A7" s="154"/>
      <c r="B7" s="165"/>
      <c r="C7" s="165"/>
      <c r="D7" s="165"/>
      <c r="E7" s="165"/>
      <c r="F7" s="165"/>
      <c r="G7" s="165"/>
      <c r="H7" s="165"/>
      <c r="I7" s="165"/>
      <c r="J7" s="165"/>
      <c r="K7" s="165"/>
      <c r="L7" s="165"/>
      <c r="M7" s="163"/>
    </row>
    <row r="8" spans="1:13" ht="15.75" thickBot="1" x14ac:dyDescent="0.3">
      <c r="A8" s="154"/>
      <c r="B8" s="209" t="s">
        <v>186</v>
      </c>
      <c r="C8" s="281"/>
      <c r="D8" s="165"/>
      <c r="E8" s="209" t="s">
        <v>185</v>
      </c>
      <c r="F8" s="281"/>
      <c r="G8" s="165"/>
      <c r="H8" s="209" t="s">
        <v>184</v>
      </c>
      <c r="I8" s="281"/>
      <c r="J8" s="165"/>
      <c r="K8" s="209" t="s">
        <v>183</v>
      </c>
      <c r="L8" s="281"/>
      <c r="M8" s="163"/>
    </row>
    <row r="9" spans="1:13" ht="15.75" thickBot="1" x14ac:dyDescent="0.3">
      <c r="A9" s="154"/>
      <c r="B9" s="279">
        <v>4.3</v>
      </c>
      <c r="C9" s="280"/>
      <c r="D9" s="165"/>
      <c r="E9" s="288"/>
      <c r="F9" s="288"/>
      <c r="G9" s="165"/>
      <c r="H9" s="284" t="str">
        <f>IF(ISERROR((List3!H3)),"",(List3!H3))</f>
        <v xml:space="preserve">Ilovasta pjeskulja </v>
      </c>
      <c r="I9" s="285"/>
      <c r="J9" s="165"/>
      <c r="K9" s="284">
        <f>List3!I3</f>
        <v>6.6</v>
      </c>
      <c r="L9" s="285"/>
      <c r="M9" s="163"/>
    </row>
    <row r="10" spans="1:13" ht="15.75" thickBot="1" x14ac:dyDescent="0.3">
      <c r="A10" s="154"/>
      <c r="B10" s="165"/>
      <c r="C10" s="165"/>
      <c r="D10" s="165"/>
      <c r="E10" s="165"/>
      <c r="F10" s="165"/>
      <c r="G10" s="165"/>
      <c r="H10" s="165"/>
      <c r="I10" s="165"/>
      <c r="J10" s="165"/>
      <c r="K10" s="165"/>
      <c r="L10" s="165"/>
      <c r="M10" s="163"/>
    </row>
    <row r="11" spans="1:13" x14ac:dyDescent="0.25">
      <c r="A11" s="154"/>
      <c r="B11" s="165"/>
      <c r="C11" s="165"/>
      <c r="D11" s="165"/>
      <c r="E11" s="165"/>
      <c r="F11" s="165"/>
      <c r="G11" s="165"/>
      <c r="H11" s="294" t="s">
        <v>182</v>
      </c>
      <c r="I11" s="295"/>
      <c r="J11" s="295"/>
      <c r="K11" s="295"/>
      <c r="L11" s="296"/>
      <c r="M11" s="163"/>
    </row>
    <row r="12" spans="1:13" ht="18.75" thickBot="1" x14ac:dyDescent="0.3">
      <c r="A12" s="154"/>
      <c r="B12" s="209" t="s">
        <v>181</v>
      </c>
      <c r="C12" s="209"/>
      <c r="D12" s="165"/>
      <c r="E12" s="209" t="s">
        <v>180</v>
      </c>
      <c r="F12" s="281"/>
      <c r="G12" s="165"/>
      <c r="H12" s="291" t="s">
        <v>179</v>
      </c>
      <c r="I12" s="292"/>
      <c r="J12" s="166"/>
      <c r="K12" s="292" t="s">
        <v>178</v>
      </c>
      <c r="L12" s="293"/>
      <c r="M12" s="163"/>
    </row>
    <row r="13" spans="1:13" ht="15.75" thickBot="1" x14ac:dyDescent="0.3">
      <c r="A13" s="154"/>
      <c r="B13" s="165"/>
      <c r="C13" s="165"/>
      <c r="D13" s="165"/>
      <c r="E13" s="288"/>
      <c r="F13" s="288"/>
      <c r="G13" s="165"/>
      <c r="H13" s="297">
        <f>IF(ISERROR((List3!I13)),"",(List3!I13))</f>
        <v>2721.6666666666661</v>
      </c>
      <c r="I13" s="285"/>
      <c r="J13" s="165"/>
      <c r="K13" s="289">
        <f>List3!J13</f>
        <v>4844.5666666666657</v>
      </c>
      <c r="L13" s="298"/>
      <c r="M13" s="163"/>
    </row>
    <row r="14" spans="1:13" x14ac:dyDescent="0.25">
      <c r="A14" s="154"/>
      <c r="B14" s="165"/>
      <c r="C14" s="165"/>
      <c r="D14" s="165"/>
      <c r="E14" s="165"/>
      <c r="F14" s="165"/>
      <c r="G14" s="165"/>
      <c r="H14" s="165"/>
      <c r="I14" s="165"/>
      <c r="J14" s="165"/>
      <c r="K14" s="165"/>
      <c r="L14" s="165"/>
      <c r="M14" s="163"/>
    </row>
    <row r="15" spans="1:13" x14ac:dyDescent="0.25">
      <c r="A15" s="154"/>
      <c r="B15" s="165"/>
      <c r="C15" s="270" t="s">
        <v>177</v>
      </c>
      <c r="D15" s="271"/>
      <c r="E15" s="271"/>
      <c r="F15" s="271"/>
      <c r="G15" s="271"/>
      <c r="H15" s="271"/>
      <c r="I15" s="271"/>
      <c r="J15" s="271"/>
      <c r="K15" s="272"/>
      <c r="L15" s="164"/>
      <c r="M15" s="163"/>
    </row>
    <row r="16" spans="1:13" x14ac:dyDescent="0.25">
      <c r="A16" s="154"/>
      <c r="B16" s="86"/>
      <c r="C16" s="273"/>
      <c r="D16" s="274"/>
      <c r="E16" s="274"/>
      <c r="F16" s="274"/>
      <c r="G16" s="274"/>
      <c r="H16" s="274"/>
      <c r="I16" s="274"/>
      <c r="J16" s="274"/>
      <c r="K16" s="275"/>
      <c r="L16" s="86"/>
      <c r="M16" s="87"/>
    </row>
    <row r="17" spans="1:13" x14ac:dyDescent="0.25">
      <c r="A17" s="154"/>
      <c r="B17" s="86"/>
      <c r="C17" s="276"/>
      <c r="D17" s="277"/>
      <c r="E17" s="277"/>
      <c r="F17" s="277"/>
      <c r="G17" s="277"/>
      <c r="H17" s="277"/>
      <c r="I17" s="277"/>
      <c r="J17" s="277"/>
      <c r="K17" s="278"/>
      <c r="L17" s="86"/>
      <c r="M17" s="87"/>
    </row>
    <row r="18" spans="1:13" x14ac:dyDescent="0.25">
      <c r="A18" s="154"/>
      <c r="B18" s="86"/>
      <c r="C18" s="86"/>
      <c r="D18" s="86"/>
      <c r="E18" s="86"/>
      <c r="F18" s="86"/>
      <c r="G18" s="86"/>
      <c r="H18" s="86"/>
      <c r="I18" s="86"/>
      <c r="J18" s="86"/>
      <c r="K18" s="86"/>
      <c r="L18" s="86"/>
      <c r="M18" s="87"/>
    </row>
    <row r="19" spans="1:13" ht="15.75" thickBot="1" x14ac:dyDescent="0.3">
      <c r="A19" s="154"/>
      <c r="B19" s="86"/>
      <c r="C19" s="86"/>
      <c r="D19" s="86"/>
      <c r="E19" s="301" t="s">
        <v>176</v>
      </c>
      <c r="F19" s="302"/>
      <c r="G19" s="302"/>
      <c r="H19" s="302"/>
      <c r="I19" s="302"/>
      <c r="J19" s="303"/>
      <c r="K19" s="86"/>
      <c r="L19" s="86"/>
      <c r="M19" s="87"/>
    </row>
    <row r="20" spans="1:13" x14ac:dyDescent="0.25">
      <c r="A20" s="154"/>
      <c r="B20" s="86"/>
      <c r="C20" s="86"/>
      <c r="D20" s="86"/>
      <c r="E20" s="86"/>
      <c r="F20" s="86"/>
      <c r="G20" s="86"/>
      <c r="H20" s="86"/>
      <c r="I20" s="86"/>
      <c r="J20" s="86"/>
      <c r="K20" s="162"/>
      <c r="L20" s="161"/>
      <c r="M20" s="87"/>
    </row>
    <row r="21" spans="1:13" ht="17.25" thickBot="1" x14ac:dyDescent="0.3">
      <c r="A21" s="154"/>
      <c r="B21" s="304" t="s">
        <v>170</v>
      </c>
      <c r="C21" s="305"/>
      <c r="D21" s="86"/>
      <c r="E21" s="209" t="s">
        <v>175</v>
      </c>
      <c r="F21" s="281"/>
      <c r="G21" s="86"/>
      <c r="H21" s="209" t="s">
        <v>168</v>
      </c>
      <c r="I21" s="281"/>
      <c r="J21" s="86"/>
      <c r="K21" s="306" t="s">
        <v>167</v>
      </c>
      <c r="L21" s="307"/>
      <c r="M21" s="87"/>
    </row>
    <row r="22" spans="1:13" ht="15.75" thickBot="1" x14ac:dyDescent="0.3">
      <c r="A22" s="154"/>
      <c r="B22" s="86"/>
      <c r="C22" s="86"/>
      <c r="D22" s="86"/>
      <c r="E22" s="279">
        <v>5</v>
      </c>
      <c r="F22" s="280"/>
      <c r="G22" s="86"/>
      <c r="H22" s="86"/>
      <c r="I22" s="86"/>
      <c r="J22" s="86"/>
      <c r="K22" s="299">
        <f>IF(ISERROR((List3!L19)),"",(List3!L19))</f>
        <v>3900000</v>
      </c>
      <c r="L22" s="300"/>
      <c r="M22" s="87"/>
    </row>
    <row r="23" spans="1:13" x14ac:dyDescent="0.25">
      <c r="A23" s="154"/>
      <c r="B23" s="86"/>
      <c r="C23" s="86"/>
      <c r="D23" s="86"/>
      <c r="E23" s="86"/>
      <c r="F23" s="86"/>
      <c r="G23" s="86"/>
      <c r="H23" s="86"/>
      <c r="I23" s="86"/>
      <c r="J23" s="86"/>
      <c r="K23" s="160"/>
      <c r="L23" s="159"/>
      <c r="M23" s="87"/>
    </row>
    <row r="24" spans="1:13" ht="15.75" thickBot="1" x14ac:dyDescent="0.3">
      <c r="A24" s="154"/>
      <c r="B24" s="209" t="s">
        <v>174</v>
      </c>
      <c r="C24" s="281"/>
      <c r="D24" s="86"/>
      <c r="E24" s="209" t="s">
        <v>173</v>
      </c>
      <c r="F24" s="281"/>
      <c r="G24" s="86"/>
      <c r="H24" s="209" t="s">
        <v>172</v>
      </c>
      <c r="I24" s="281"/>
      <c r="J24" s="86"/>
      <c r="K24" s="306" t="str">
        <f>IF(ISERROR((List3!E38)),"",(List3!E38))</f>
        <v>Superfosfat (kg/ha)</v>
      </c>
      <c r="L24" s="307"/>
      <c r="M24" s="87"/>
    </row>
    <row r="25" spans="1:13" ht="15.75" thickBot="1" x14ac:dyDescent="0.3">
      <c r="A25" s="154"/>
      <c r="B25" s="279">
        <v>20</v>
      </c>
      <c r="C25" s="280"/>
      <c r="D25" s="86"/>
      <c r="E25" s="282">
        <f>IF(ISERROR((List3!C38)),"",(List3!C38))</f>
        <v>585</v>
      </c>
      <c r="F25" s="283"/>
      <c r="G25" s="86"/>
      <c r="H25" s="86"/>
      <c r="I25" s="86"/>
      <c r="J25" s="86"/>
      <c r="K25" s="308">
        <f>IF(ISERROR((List3!D38)),"",(List3!D38))</f>
        <v>3250</v>
      </c>
      <c r="L25" s="309"/>
      <c r="M25" s="87"/>
    </row>
    <row r="26" spans="1:13" x14ac:dyDescent="0.25">
      <c r="A26" s="154"/>
      <c r="B26" s="86"/>
      <c r="C26" s="86"/>
      <c r="D26" s="86"/>
      <c r="E26" s="86"/>
      <c r="F26" s="86"/>
      <c r="G26" s="86"/>
      <c r="H26" s="86"/>
      <c r="I26" s="86"/>
      <c r="J26" s="86"/>
      <c r="K26" s="86"/>
      <c r="L26" s="86"/>
      <c r="M26" s="87"/>
    </row>
    <row r="27" spans="1:13" x14ac:dyDescent="0.25">
      <c r="A27" s="154"/>
      <c r="B27" s="86"/>
      <c r="C27" s="86"/>
      <c r="D27" s="86"/>
      <c r="E27" s="86"/>
      <c r="F27" s="86"/>
      <c r="G27" s="86"/>
      <c r="H27" s="86"/>
      <c r="I27" s="86"/>
      <c r="J27" s="86"/>
      <c r="K27" s="86"/>
      <c r="L27" s="86"/>
      <c r="M27" s="87"/>
    </row>
    <row r="28" spans="1:13" ht="15.75" thickBot="1" x14ac:dyDescent="0.3">
      <c r="A28" s="154"/>
      <c r="B28" s="86"/>
      <c r="C28" s="86"/>
      <c r="D28" s="86"/>
      <c r="E28" s="301" t="s">
        <v>171</v>
      </c>
      <c r="F28" s="302"/>
      <c r="G28" s="302"/>
      <c r="H28" s="302"/>
      <c r="I28" s="302"/>
      <c r="J28" s="303"/>
      <c r="K28" s="86"/>
      <c r="L28" s="86"/>
      <c r="M28" s="87"/>
    </row>
    <row r="29" spans="1:13" x14ac:dyDescent="0.25">
      <c r="A29" s="154"/>
      <c r="B29" s="86"/>
      <c r="C29" s="86"/>
      <c r="D29" s="86"/>
      <c r="E29" s="86"/>
      <c r="F29" s="86"/>
      <c r="G29" s="86"/>
      <c r="H29" s="86"/>
      <c r="I29" s="86"/>
      <c r="J29" s="86"/>
      <c r="K29" s="158"/>
      <c r="L29" s="157"/>
      <c r="M29" s="87"/>
    </row>
    <row r="30" spans="1:13" ht="17.25" customHeight="1" thickBot="1" x14ac:dyDescent="0.3">
      <c r="A30" s="154"/>
      <c r="B30" s="304" t="s">
        <v>170</v>
      </c>
      <c r="C30" s="305"/>
      <c r="D30" s="86"/>
      <c r="E30" s="209" t="s">
        <v>169</v>
      </c>
      <c r="F30" s="281"/>
      <c r="G30" s="86"/>
      <c r="H30" s="209" t="s">
        <v>168</v>
      </c>
      <c r="I30" s="281"/>
      <c r="J30" s="86"/>
      <c r="K30" s="286" t="s">
        <v>167</v>
      </c>
      <c r="L30" s="287"/>
      <c r="M30" s="87"/>
    </row>
    <row r="31" spans="1:13" ht="15.75" thickBot="1" x14ac:dyDescent="0.3">
      <c r="A31" s="154"/>
      <c r="B31" s="86"/>
      <c r="C31" s="86"/>
      <c r="D31" s="86"/>
      <c r="E31" s="279"/>
      <c r="F31" s="280"/>
      <c r="G31" s="86"/>
      <c r="H31" s="86"/>
      <c r="I31" s="86"/>
      <c r="J31" s="86"/>
      <c r="K31" s="284">
        <f>IF(ISERROR((List3!L26)),"",(List3!L26))</f>
        <v>0</v>
      </c>
      <c r="L31" s="285"/>
      <c r="M31" s="87"/>
    </row>
    <row r="32" spans="1:13" x14ac:dyDescent="0.25">
      <c r="A32" s="154"/>
      <c r="B32" s="86"/>
      <c r="C32" s="86"/>
      <c r="D32" s="86"/>
      <c r="E32" s="86"/>
      <c r="F32" s="86"/>
      <c r="G32" s="86"/>
      <c r="H32" s="86"/>
      <c r="I32" s="86"/>
      <c r="J32" s="86"/>
      <c r="K32" s="156"/>
      <c r="L32" s="155"/>
      <c r="M32" s="87"/>
    </row>
    <row r="33" spans="1:13" ht="17.25" thickBot="1" x14ac:dyDescent="0.3">
      <c r="A33" s="154"/>
      <c r="B33" s="209" t="s">
        <v>166</v>
      </c>
      <c r="C33" s="281"/>
      <c r="D33" s="86"/>
      <c r="E33" s="209" t="s">
        <v>165</v>
      </c>
      <c r="F33" s="281"/>
      <c r="G33" s="86"/>
      <c r="H33" s="209" t="s">
        <v>164</v>
      </c>
      <c r="I33" s="281"/>
      <c r="J33" s="86"/>
      <c r="K33" s="286" t="str">
        <f>List3!G48</f>
        <v>Bez đubrenja</v>
      </c>
      <c r="L33" s="287"/>
      <c r="M33" s="87"/>
    </row>
    <row r="34" spans="1:13" ht="15.75" thickBot="1" x14ac:dyDescent="0.3">
      <c r="A34" s="154"/>
      <c r="B34" s="279"/>
      <c r="C34" s="280"/>
      <c r="D34" s="86"/>
      <c r="E34" s="282">
        <f>IF(ISERROR((List3!C42)),"",(List3!C42))</f>
        <v>0</v>
      </c>
      <c r="F34" s="283"/>
      <c r="G34" s="86"/>
      <c r="H34" s="86"/>
      <c r="I34" s="86"/>
      <c r="J34" s="86"/>
      <c r="K34" s="289" t="str">
        <f>IF(ISERROR((List3!G45)),"",(List3!G45))</f>
        <v/>
      </c>
      <c r="L34" s="290"/>
      <c r="M34" s="87"/>
    </row>
    <row r="35" spans="1:13" x14ac:dyDescent="0.25">
      <c r="A35" s="154"/>
      <c r="B35" s="86"/>
      <c r="C35" s="86"/>
      <c r="D35" s="86"/>
      <c r="E35" s="86"/>
      <c r="F35" s="86"/>
      <c r="G35" s="86"/>
      <c r="H35" s="86"/>
      <c r="I35" s="86"/>
      <c r="J35" s="86"/>
      <c r="K35" s="86"/>
      <c r="L35" s="86"/>
      <c r="M35" s="87"/>
    </row>
    <row r="36" spans="1:13" x14ac:dyDescent="0.25">
      <c r="A36" s="154"/>
      <c r="B36" s="86"/>
      <c r="C36" s="86"/>
      <c r="D36" s="86"/>
      <c r="E36" s="86"/>
      <c r="F36" s="86"/>
      <c r="G36" s="86"/>
      <c r="H36" s="86"/>
      <c r="I36" s="153" t="s">
        <v>163</v>
      </c>
      <c r="J36" s="153"/>
      <c r="K36" s="153"/>
      <c r="L36" s="153"/>
      <c r="M36" s="87"/>
    </row>
    <row r="37" spans="1:13" x14ac:dyDescent="0.25">
      <c r="A37" s="88"/>
      <c r="B37" s="89"/>
      <c r="C37" s="89"/>
      <c r="D37" s="89"/>
      <c r="E37" s="89"/>
      <c r="F37" s="89"/>
      <c r="G37" s="89"/>
      <c r="H37" s="89"/>
      <c r="I37" s="89"/>
      <c r="J37" s="89"/>
      <c r="K37" s="89"/>
      <c r="L37" s="89"/>
      <c r="M37" s="90"/>
    </row>
    <row r="38" spans="1:13" ht="9.75" hidden="1" customHeight="1" x14ac:dyDescent="0.25"/>
  </sheetData>
  <sheetProtection password="CF7A" sheet="1" objects="1" scenarios="1" selectLockedCells="1"/>
  <mergeCells count="46">
    <mergeCell ref="K24:L24"/>
    <mergeCell ref="E31:F31"/>
    <mergeCell ref="E30:F30"/>
    <mergeCell ref="E22:F22"/>
    <mergeCell ref="K22:L22"/>
    <mergeCell ref="E19:J19"/>
    <mergeCell ref="B30:C30"/>
    <mergeCell ref="K21:L21"/>
    <mergeCell ref="K33:L33"/>
    <mergeCell ref="H30:I30"/>
    <mergeCell ref="E28:J28"/>
    <mergeCell ref="E21:F21"/>
    <mergeCell ref="B25:C25"/>
    <mergeCell ref="B24:C24"/>
    <mergeCell ref="H21:I21"/>
    <mergeCell ref="E25:F25"/>
    <mergeCell ref="E24:F24"/>
    <mergeCell ref="H24:I24"/>
    <mergeCell ref="B21:C21"/>
    <mergeCell ref="K25:L25"/>
    <mergeCell ref="B9:C9"/>
    <mergeCell ref="E13:F13"/>
    <mergeCell ref="C15:K17"/>
    <mergeCell ref="H12:I12"/>
    <mergeCell ref="K12:L12"/>
    <mergeCell ref="E12:F12"/>
    <mergeCell ref="H11:L11"/>
    <mergeCell ref="H13:I13"/>
    <mergeCell ref="K13:L13"/>
    <mergeCell ref="B12:C12"/>
    <mergeCell ref="C2:K4"/>
    <mergeCell ref="B34:C34"/>
    <mergeCell ref="B33:C33"/>
    <mergeCell ref="E33:F33"/>
    <mergeCell ref="E34:F34"/>
    <mergeCell ref="K31:L31"/>
    <mergeCell ref="K30:L30"/>
    <mergeCell ref="H8:I8"/>
    <mergeCell ref="K8:L8"/>
    <mergeCell ref="E8:F8"/>
    <mergeCell ref="B8:C8"/>
    <mergeCell ref="H9:I9"/>
    <mergeCell ref="E9:F9"/>
    <mergeCell ref="K9:L9"/>
    <mergeCell ref="K34:L34"/>
    <mergeCell ref="H33:I33"/>
  </mergeCell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Drop Down 1">
              <controlPr locked="0" defaultSize="0" print="0" autoLine="0" autoPict="0">
                <anchor>
                  <from>
                    <xdr:col>4</xdr:col>
                    <xdr:colOff>0</xdr:colOff>
                    <xdr:row>8</xdr:row>
                    <xdr:rowOff>0</xdr:rowOff>
                  </from>
                  <to>
                    <xdr:col>6</xdr:col>
                    <xdr:colOff>9525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5" name="Drop Down 2">
              <controlPr locked="0" defaultSize="0" print="0" autoLine="0" autoPict="0" macro="[0]!Padajućalista2_Promena">
                <anchor>
                  <from>
                    <xdr:col>1</xdr:col>
                    <xdr:colOff>38100</xdr:colOff>
                    <xdr:row>12</xdr:row>
                    <xdr:rowOff>9525</xdr:rowOff>
                  </from>
                  <to>
                    <xdr:col>3</xdr:col>
                    <xdr:colOff>9525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6" name="Drop Down 3">
              <controlPr locked="0" defaultSize="0" print="0" autoLine="0" autoPict="0">
                <anchor>
                  <from>
                    <xdr:col>4</xdr:col>
                    <xdr:colOff>9525</xdr:colOff>
                    <xdr:row>11</xdr:row>
                    <xdr:rowOff>228600</xdr:rowOff>
                  </from>
                  <to>
                    <xdr:col>6</xdr:col>
                    <xdr:colOff>9525</xdr:colOff>
                    <xdr:row>12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7" name="Drop Down 4">
              <controlPr locked="0" defaultSize="0" print="0" autoLine="0" autoPict="0">
                <anchor>
                  <from>
                    <xdr:col>6</xdr:col>
                    <xdr:colOff>114300</xdr:colOff>
                    <xdr:row>20</xdr:row>
                    <xdr:rowOff>200025</xdr:rowOff>
                  </from>
                  <to>
                    <xdr:col>8</xdr:col>
                    <xdr:colOff>771525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8" name="Drop Down 5">
              <controlPr locked="0" defaultSize="0" print="0" autoLine="0" autoPict="0">
                <anchor>
                  <from>
                    <xdr:col>1</xdr:col>
                    <xdr:colOff>9525</xdr:colOff>
                    <xdr:row>21</xdr:row>
                    <xdr:rowOff>9525</xdr:rowOff>
                  </from>
                  <to>
                    <xdr:col>3</xdr:col>
                    <xdr:colOff>9525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9" name="Drop Down 6">
              <controlPr locked="0" defaultSize="0" print="0" autoLine="0" autoPict="0">
                <anchor>
                  <from>
                    <xdr:col>6</xdr:col>
                    <xdr:colOff>95250</xdr:colOff>
                    <xdr:row>24</xdr:row>
                    <xdr:rowOff>0</xdr:rowOff>
                  </from>
                  <to>
                    <xdr:col>9</xdr:col>
                    <xdr:colOff>9525</xdr:colOff>
                    <xdr:row>25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10" name="Drop Down 7">
              <controlPr locked="0" defaultSize="0" print="0" autoLine="0" autoPict="0">
                <anchor>
                  <from>
                    <xdr:col>0</xdr:col>
                    <xdr:colOff>95250</xdr:colOff>
                    <xdr:row>29</xdr:row>
                    <xdr:rowOff>209550</xdr:rowOff>
                  </from>
                  <to>
                    <xdr:col>2</xdr:col>
                    <xdr:colOff>571500</xdr:colOff>
                    <xdr:row>30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" r:id="rId11" name="Drop Down 8">
              <controlPr locked="0" defaultSize="0" print="0" autoLine="0" autoPict="0">
                <anchor>
                  <from>
                    <xdr:col>7</xdr:col>
                    <xdr:colOff>9525</xdr:colOff>
                    <xdr:row>29</xdr:row>
                    <xdr:rowOff>209550</xdr:rowOff>
                  </from>
                  <to>
                    <xdr:col>9</xdr:col>
                    <xdr:colOff>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" r:id="rId12" name="Drop Down 9">
              <controlPr locked="0" defaultSize="0" print="0" autoLine="0" autoPict="0">
                <anchor>
                  <from>
                    <xdr:col>6</xdr:col>
                    <xdr:colOff>114300</xdr:colOff>
                    <xdr:row>32</xdr:row>
                    <xdr:rowOff>209550</xdr:rowOff>
                  </from>
                  <to>
                    <xdr:col>9</xdr:col>
                    <xdr:colOff>28575</xdr:colOff>
                    <xdr:row>34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List2"/>
  <dimension ref="A1:J50"/>
  <sheetViews>
    <sheetView showGridLines="0" showZeros="0" topLeftCell="A19" workbookViewId="0">
      <selection activeCell="G47" sqref="G47"/>
    </sheetView>
  </sheetViews>
  <sheetFormatPr defaultRowHeight="15" x14ac:dyDescent="0.25"/>
  <cols>
    <col min="1" max="1" width="12.5703125" customWidth="1"/>
    <col min="2" max="2" width="9.5703125" customWidth="1"/>
    <col min="8" max="8" width="10.140625" bestFit="1" customWidth="1"/>
  </cols>
  <sheetData>
    <row r="1" spans="1:9" x14ac:dyDescent="0.25">
      <c r="A1" s="323" t="s">
        <v>254</v>
      </c>
      <c r="B1" s="323"/>
      <c r="C1" s="323"/>
      <c r="D1" s="323"/>
    </row>
    <row r="2" spans="1:9" x14ac:dyDescent="0.25">
      <c r="A2" s="323"/>
      <c r="B2" s="323"/>
      <c r="C2" s="323"/>
      <c r="D2" s="323"/>
    </row>
    <row r="3" spans="1:9" x14ac:dyDescent="0.25">
      <c r="A3" s="323"/>
      <c r="B3" s="323"/>
      <c r="C3" s="323"/>
      <c r="D3" s="323"/>
    </row>
    <row r="4" spans="1:9" x14ac:dyDescent="0.25">
      <c r="A4" s="323"/>
      <c r="B4" s="323"/>
      <c r="C4" s="323"/>
      <c r="D4" s="323"/>
    </row>
    <row r="5" spans="1:9" x14ac:dyDescent="0.25">
      <c r="A5" s="323"/>
      <c r="B5" s="323"/>
      <c r="C5" s="323"/>
      <c r="D5" s="323"/>
    </row>
    <row r="6" spans="1:9" x14ac:dyDescent="0.25">
      <c r="A6" s="105" t="s">
        <v>245</v>
      </c>
      <c r="B6" s="126">
        <f ca="1">IF(ISERROR((TODAY())),"",(TODAY()))</f>
        <v>44668</v>
      </c>
    </row>
    <row r="7" spans="1:9" x14ac:dyDescent="0.25">
      <c r="A7" s="105"/>
      <c r="B7" s="126"/>
    </row>
    <row r="8" spans="1:9" ht="18.75" x14ac:dyDescent="0.3">
      <c r="A8" s="332" t="s">
        <v>220</v>
      </c>
      <c r="B8" s="333"/>
      <c r="C8" s="333"/>
      <c r="D8" s="333"/>
      <c r="E8" s="333"/>
      <c r="F8" s="333"/>
      <c r="G8" s="333"/>
      <c r="H8" s="333"/>
      <c r="I8" s="333"/>
    </row>
    <row r="9" spans="1:9" x14ac:dyDescent="0.25">
      <c r="A9" s="105"/>
      <c r="B9" s="126"/>
    </row>
    <row r="10" spans="1:9" x14ac:dyDescent="0.25">
      <c r="A10" s="311" t="s">
        <v>236</v>
      </c>
      <c r="B10" s="312"/>
      <c r="C10" s="312"/>
      <c r="D10" s="312"/>
      <c r="E10" s="312"/>
      <c r="F10" s="312"/>
      <c r="G10" s="312"/>
      <c r="H10" s="313"/>
    </row>
    <row r="11" spans="1:9" x14ac:dyDescent="0.25">
      <c r="A11" s="110" t="s">
        <v>222</v>
      </c>
      <c r="B11" s="188">
        <f>IF(ISERROR((List3!A1)),"",(List3!A1))</f>
        <v>4.3</v>
      </c>
      <c r="C11" s="116" t="s">
        <v>225</v>
      </c>
      <c r="D11" s="188" t="str">
        <f>IF(ISERROR((List3!H3)),"",(List3!H3))</f>
        <v xml:space="preserve">Ilovasta pjeskulja </v>
      </c>
      <c r="E11" s="193" t="s">
        <v>221</v>
      </c>
      <c r="F11" s="189">
        <f>IF(ISERROR((List3!I3)),"",(List3!I3))</f>
        <v>6.6</v>
      </c>
      <c r="G11" s="116" t="s">
        <v>246</v>
      </c>
      <c r="H11" s="116" t="s">
        <v>247</v>
      </c>
    </row>
    <row r="12" spans="1:9" x14ac:dyDescent="0.25">
      <c r="A12" s="110" t="s">
        <v>223</v>
      </c>
      <c r="B12" s="190" t="str">
        <f>IF(ISERROR((List3!H7)),"",(List3!H7))</f>
        <v xml:space="preserve"> 13-15  </v>
      </c>
      <c r="C12" s="335" t="s">
        <v>224</v>
      </c>
      <c r="D12" s="336"/>
      <c r="E12" s="316">
        <f>IF(ISERROR((List3!F18)),"",(List3!F18))</f>
        <v>30</v>
      </c>
      <c r="F12" s="317"/>
      <c r="G12" s="188">
        <f>IF(ISERROR((List3!I13)),"",(List3!I13))</f>
        <v>2721.6666666666661</v>
      </c>
      <c r="H12" s="188">
        <f>IF(ISERROR((List3!J13)),"",(List3!J13))</f>
        <v>4844.5666666666657</v>
      </c>
    </row>
    <row r="13" spans="1:9" x14ac:dyDescent="0.25">
      <c r="A13" s="314" t="s">
        <v>243</v>
      </c>
      <c r="B13" s="315"/>
      <c r="C13" s="315"/>
      <c r="D13" s="315"/>
      <c r="E13" s="315"/>
      <c r="F13" s="315"/>
      <c r="G13" s="315"/>
      <c r="H13" s="315"/>
    </row>
    <row r="14" spans="1:9" ht="16.5" x14ac:dyDescent="0.25">
      <c r="A14" s="110" t="s">
        <v>25</v>
      </c>
      <c r="B14" s="186" t="s">
        <v>237</v>
      </c>
      <c r="C14" s="116" t="s">
        <v>235</v>
      </c>
      <c r="D14" s="318" t="s">
        <v>224</v>
      </c>
      <c r="E14" s="319"/>
      <c r="F14" s="116" t="s">
        <v>238</v>
      </c>
      <c r="G14" s="310" t="str">
        <f>List3!E38</f>
        <v>Superfosfat (kg/ha)</v>
      </c>
      <c r="H14" s="334"/>
    </row>
    <row r="15" spans="1:9" x14ac:dyDescent="0.25">
      <c r="A15" s="194" t="s">
        <v>234</v>
      </c>
      <c r="B15" s="187">
        <f>IF(ISERROR((MEL!B9)),"",(MEL!B9))</f>
        <v>4.3</v>
      </c>
      <c r="C15" s="116">
        <f>IF(ISERROR((MEL!B25)),"",(MEL!B25))</f>
        <v>20</v>
      </c>
      <c r="D15" s="310">
        <f>IF(ISERROR((List3!M19)),"",(List3!M19))</f>
        <v>30</v>
      </c>
      <c r="E15" s="310"/>
      <c r="F15" s="116">
        <f>List3!C38</f>
        <v>585</v>
      </c>
      <c r="G15" s="310">
        <f>List3!D38</f>
        <v>3250</v>
      </c>
      <c r="H15" s="334"/>
    </row>
    <row r="16" spans="1:9" x14ac:dyDescent="0.25">
      <c r="A16" s="314" t="s">
        <v>244</v>
      </c>
      <c r="B16" s="315"/>
      <c r="C16" s="315"/>
      <c r="D16" s="315"/>
      <c r="E16" s="315"/>
      <c r="F16" s="315"/>
      <c r="G16" s="315"/>
      <c r="H16" s="315"/>
    </row>
    <row r="17" spans="1:10" ht="16.5" x14ac:dyDescent="0.25">
      <c r="A17" s="110" t="s">
        <v>32</v>
      </c>
      <c r="B17" s="186" t="s">
        <v>242</v>
      </c>
      <c r="C17" s="110" t="str">
        <f>C14</f>
        <v>Dići na:</v>
      </c>
      <c r="D17" s="310" t="str">
        <f>D14</f>
        <v>Dubina oranja (cm)</v>
      </c>
      <c r="E17" s="334"/>
      <c r="F17" s="110" t="s">
        <v>239</v>
      </c>
      <c r="G17" s="310" t="str">
        <f>List3!G48</f>
        <v>Bez đubrenja</v>
      </c>
      <c r="H17" s="334"/>
    </row>
    <row r="18" spans="1:10" x14ac:dyDescent="0.25">
      <c r="A18" s="110" t="str">
        <f>A15</f>
        <v>mg 100/g zem</v>
      </c>
      <c r="B18" s="191">
        <f>IF(ISERROR((MEL!E31)),"",(MEL!E31))</f>
        <v>0</v>
      </c>
      <c r="C18" s="192">
        <f>IF(ISERROR((MEL!B34)),"",(MEL!B34))</f>
        <v>0</v>
      </c>
      <c r="D18" s="345">
        <f>IF(ISERROR((List3!M25)),"",(List3!M25))</f>
        <v>0</v>
      </c>
      <c r="E18" s="364"/>
      <c r="F18" s="192">
        <f>IF(ISERROR((List3!C42)),"",(List3!C42))</f>
        <v>0</v>
      </c>
      <c r="G18" s="364" t="str">
        <f>IF(ISERROR((List3!G45)),"",(List3!G45))</f>
        <v/>
      </c>
      <c r="H18" s="364"/>
    </row>
    <row r="19" spans="1:10" x14ac:dyDescent="0.25">
      <c r="A19" s="105"/>
      <c r="B19" s="126"/>
    </row>
    <row r="20" spans="1:10" ht="18.75" x14ac:dyDescent="0.3">
      <c r="A20" s="332" t="s">
        <v>240</v>
      </c>
      <c r="B20" s="333"/>
      <c r="C20" s="333"/>
      <c r="D20" s="333"/>
      <c r="E20" s="333"/>
      <c r="F20" s="333"/>
      <c r="G20" s="333"/>
      <c r="H20" s="333"/>
      <c r="I20" s="333"/>
    </row>
    <row r="22" spans="1:10" ht="15.75" x14ac:dyDescent="0.25">
      <c r="A22" s="340" t="s">
        <v>241</v>
      </c>
      <c r="B22" s="249"/>
      <c r="C22" s="249"/>
      <c r="D22" s="249"/>
      <c r="E22" s="249"/>
      <c r="F22" s="249"/>
      <c r="G22" s="249"/>
      <c r="H22" s="249"/>
      <c r="I22" s="249"/>
    </row>
    <row r="24" spans="1:10" x14ac:dyDescent="0.25">
      <c r="A24" s="105" t="s">
        <v>248</v>
      </c>
      <c r="B24" s="105"/>
      <c r="C24" s="324">
        <f>IF(ISERROR((DJUB!B9)),"",(DJUB!B9))</f>
        <v>0</v>
      </c>
      <c r="D24" s="324"/>
      <c r="E24" s="324"/>
      <c r="F24" s="329" t="s">
        <v>249</v>
      </c>
      <c r="G24" s="329"/>
      <c r="H24" s="325">
        <f>IF(ISERROR((DJUB!B12)),"",(DJUB!B12))</f>
        <v>0</v>
      </c>
      <c r="I24" s="326"/>
      <c r="J24" s="127"/>
    </row>
    <row r="25" spans="1:10" x14ac:dyDescent="0.25">
      <c r="A25" s="329" t="s">
        <v>265</v>
      </c>
      <c r="B25" s="329"/>
      <c r="C25" s="331">
        <f>IF(ISERROR((DJUB!G9)),"",(DJUB!G9))</f>
        <v>0</v>
      </c>
      <c r="D25" s="331"/>
      <c r="E25" s="331"/>
      <c r="F25" s="330" t="s">
        <v>253</v>
      </c>
      <c r="G25" s="329"/>
      <c r="H25" s="128">
        <f>IF(ISERROR((DJUB!J9)),"",(DJUB!J9))</f>
        <v>0</v>
      </c>
      <c r="I25" s="128" t="s">
        <v>137</v>
      </c>
      <c r="J25" s="105"/>
    </row>
    <row r="26" spans="1:10" x14ac:dyDescent="0.25">
      <c r="A26" s="329" t="s">
        <v>266</v>
      </c>
      <c r="B26" s="329"/>
      <c r="C26" s="331" t="str">
        <f>IF(ISERROR((List2!D28)),"",(List2!D28))</f>
        <v>Pšenica</v>
      </c>
      <c r="D26" s="331"/>
      <c r="E26" s="331"/>
      <c r="F26" s="330" t="s">
        <v>142</v>
      </c>
      <c r="G26" s="329"/>
      <c r="H26" s="128">
        <f>IF(ISERROR((DJUB!J12)),"",(DJUB!J12))</f>
        <v>0</v>
      </c>
      <c r="I26" s="128" t="s">
        <v>90</v>
      </c>
      <c r="J26" s="105"/>
    </row>
    <row r="27" spans="1:10" x14ac:dyDescent="0.25">
      <c r="A27" s="102"/>
      <c r="B27" s="102"/>
      <c r="C27" s="104"/>
      <c r="D27" s="104"/>
      <c r="E27" s="104"/>
      <c r="F27" s="102"/>
      <c r="G27" s="102"/>
    </row>
    <row r="28" spans="1:10" ht="17.25" x14ac:dyDescent="0.25">
      <c r="A28" s="327" t="s">
        <v>260</v>
      </c>
      <c r="B28" s="328"/>
      <c r="C28" s="328"/>
      <c r="D28" s="129" t="s">
        <v>17</v>
      </c>
      <c r="E28" s="195" t="s">
        <v>261</v>
      </c>
      <c r="F28" s="196" t="s">
        <v>262</v>
      </c>
      <c r="G28" s="102"/>
    </row>
    <row r="29" spans="1:10" x14ac:dyDescent="0.25">
      <c r="A29" s="328"/>
      <c r="B29" s="328"/>
      <c r="C29" s="328"/>
      <c r="D29" s="130" t="str">
        <f>IF(ISERROR((DJUB!N46)),"",(DJUB!N46))</f>
        <v/>
      </c>
      <c r="E29" s="130" t="str">
        <f>IF(ISERROR((DJUB!I39)),"",(DJUB!I39))</f>
        <v/>
      </c>
      <c r="F29" s="130" t="str">
        <f>IF(ISERROR((DJUB!J39)),"",(DJUB!J39))</f>
        <v/>
      </c>
      <c r="G29" s="102"/>
    </row>
    <row r="31" spans="1:10" ht="15.75" x14ac:dyDescent="0.25">
      <c r="A31" s="362" t="s">
        <v>252</v>
      </c>
      <c r="B31" s="363"/>
      <c r="C31" s="363"/>
      <c r="D31" s="363"/>
      <c r="E31" s="363"/>
      <c r="F31" s="363"/>
      <c r="G31" s="363"/>
      <c r="H31" s="363"/>
      <c r="I31" s="103"/>
    </row>
    <row r="32" spans="1:10" ht="15" customHeight="1" x14ac:dyDescent="0.25">
      <c r="A32" s="346" t="s">
        <v>255</v>
      </c>
      <c r="B32" s="349" t="s">
        <v>250</v>
      </c>
      <c r="C32" s="346" t="s">
        <v>91</v>
      </c>
      <c r="D32" s="346" t="s">
        <v>90</v>
      </c>
      <c r="E32" s="352" t="s">
        <v>138</v>
      </c>
      <c r="F32" s="353"/>
      <c r="G32" s="356" t="s">
        <v>256</v>
      </c>
      <c r="H32" s="357"/>
    </row>
    <row r="33" spans="1:9" x14ac:dyDescent="0.25">
      <c r="A33" s="347"/>
      <c r="B33" s="350"/>
      <c r="C33" s="347"/>
      <c r="D33" s="347"/>
      <c r="E33" s="354"/>
      <c r="F33" s="354"/>
      <c r="G33" s="106">
        <f>IF(ISERROR((H25)),"",(H25))</f>
        <v>0</v>
      </c>
      <c r="H33" s="107" t="s">
        <v>137</v>
      </c>
    </row>
    <row r="34" spans="1:9" x14ac:dyDescent="0.25">
      <c r="A34" s="348"/>
      <c r="B34" s="351"/>
      <c r="C34" s="348"/>
      <c r="D34" s="348"/>
      <c r="E34" s="355"/>
      <c r="F34" s="355"/>
      <c r="G34" s="108" t="s">
        <v>140</v>
      </c>
      <c r="H34" s="109" t="s">
        <v>139</v>
      </c>
    </row>
    <row r="35" spans="1:9" ht="15.75" x14ac:dyDescent="0.25">
      <c r="A35" s="320" t="s">
        <v>92</v>
      </c>
      <c r="B35" s="321"/>
      <c r="C35" s="321"/>
      <c r="D35" s="321"/>
      <c r="E35" s="321"/>
      <c r="F35" s="321"/>
      <c r="G35" s="321"/>
      <c r="H35" s="322"/>
    </row>
    <row r="36" spans="1:9" x14ac:dyDescent="0.25">
      <c r="A36" s="110" t="s">
        <v>40</v>
      </c>
      <c r="B36" s="109" t="s">
        <v>141</v>
      </c>
      <c r="C36" s="109" t="s">
        <v>141</v>
      </c>
      <c r="D36" s="109" t="str">
        <f>IF(ISERROR((DJUB!N16)),"",(DJUB!N16))</f>
        <v/>
      </c>
      <c r="E36" s="345">
        <f>IF(ISERROR((DJUB!D15)),"",(DJUB!D15))</f>
        <v>0</v>
      </c>
      <c r="F36" s="345"/>
      <c r="G36" s="109" t="s">
        <v>141</v>
      </c>
      <c r="H36" s="109" t="str">
        <f>IF(ISERROR((D36*H25)),"",(D36*H25))</f>
        <v/>
      </c>
    </row>
    <row r="37" spans="1:9" x14ac:dyDescent="0.25">
      <c r="A37" s="111" t="s">
        <v>85</v>
      </c>
      <c r="B37" s="111" t="str">
        <f>IF(ISERROR((List2!A28)),"",(List2!A28))</f>
        <v/>
      </c>
      <c r="C37" s="112" t="str">
        <f>IF(ISERROR((List2!F36)),"",(List2!F36))</f>
        <v/>
      </c>
      <c r="D37" s="113" t="s">
        <v>141</v>
      </c>
      <c r="E37" s="338" t="s">
        <v>141</v>
      </c>
      <c r="F37" s="339"/>
      <c r="G37" s="112" t="str">
        <f>IF(ISERROR((C37*G33)),"",(C37*G33))</f>
        <v/>
      </c>
      <c r="H37" s="114" t="s">
        <v>141</v>
      </c>
    </row>
    <row r="38" spans="1:9" x14ac:dyDescent="0.25">
      <c r="A38" s="110" t="s">
        <v>102</v>
      </c>
      <c r="B38" s="110"/>
      <c r="C38" s="115">
        <f>IF(ISERROR((List2!T4)),"",(List2!T4))</f>
        <v>0</v>
      </c>
      <c r="D38" s="358" t="s">
        <v>257</v>
      </c>
      <c r="E38" s="342"/>
      <c r="F38" s="342"/>
      <c r="G38" s="115">
        <f>IF(ISERROR((C38*G33)),"",(C38*G33))</f>
        <v>0</v>
      </c>
      <c r="H38" s="116" t="s">
        <v>141</v>
      </c>
    </row>
    <row r="39" spans="1:9" ht="15.75" x14ac:dyDescent="0.25">
      <c r="A39" s="341" t="s">
        <v>258</v>
      </c>
      <c r="B39" s="342"/>
      <c r="C39" s="342"/>
      <c r="D39" s="342"/>
      <c r="E39" s="342"/>
      <c r="F39" s="342"/>
      <c r="G39" s="342"/>
      <c r="H39" s="342"/>
      <c r="I39" s="103"/>
    </row>
    <row r="40" spans="1:9" x14ac:dyDescent="0.25">
      <c r="A40" s="110" t="s">
        <v>85</v>
      </c>
      <c r="B40" s="110" t="str">
        <f>IF(ISERROR((List2!A25)),"",(List2!A25))</f>
        <v/>
      </c>
      <c r="C40" s="109">
        <f>IF(ISERROR((DJUB!N24)),"",(DJUB!N24))</f>
        <v>0</v>
      </c>
      <c r="D40" s="109" t="s">
        <v>141</v>
      </c>
      <c r="E40" s="109" t="s">
        <v>141</v>
      </c>
      <c r="F40" s="109" t="s">
        <v>141</v>
      </c>
      <c r="G40" s="109">
        <f>IF(ISERROR((C40*H25)),"",(C40*H25))</f>
        <v>0</v>
      </c>
      <c r="H40" s="109" t="s">
        <v>141</v>
      </c>
    </row>
    <row r="41" spans="1:9" ht="15.75" x14ac:dyDescent="0.25">
      <c r="A41" s="343" t="s">
        <v>259</v>
      </c>
      <c r="B41" s="344"/>
      <c r="C41" s="344"/>
      <c r="D41" s="344"/>
      <c r="E41" s="344"/>
      <c r="F41" s="344"/>
      <c r="G41" s="344"/>
      <c r="H41" s="344"/>
      <c r="I41" s="103"/>
    </row>
    <row r="42" spans="1:9" x14ac:dyDescent="0.25">
      <c r="A42" s="359" t="str">
        <f>DJUB!M28</f>
        <v>Bez prih.</v>
      </c>
      <c r="B42" s="117" t="s">
        <v>251</v>
      </c>
      <c r="C42" s="118" t="str">
        <f>IF(ISERROR((DJUB!J21)),"",(DJUB!J21))</f>
        <v/>
      </c>
      <c r="D42" s="119" t="s">
        <v>141</v>
      </c>
      <c r="E42" s="119" t="s">
        <v>141</v>
      </c>
      <c r="F42" s="119" t="s">
        <v>141</v>
      </c>
      <c r="G42" s="118" t="str">
        <f>IF(ISERROR((C42*H25)),"",(C42*H25))</f>
        <v/>
      </c>
      <c r="H42" s="119" t="s">
        <v>141</v>
      </c>
    </row>
    <row r="43" spans="1:9" x14ac:dyDescent="0.25">
      <c r="A43" s="360"/>
      <c r="B43" s="120" t="s">
        <v>264</v>
      </c>
      <c r="C43" s="121" t="str">
        <f>IF(ISERROR((C42/2)),"",(C42/2))</f>
        <v/>
      </c>
      <c r="D43" s="122" t="s">
        <v>141</v>
      </c>
      <c r="E43" s="122" t="s">
        <v>141</v>
      </c>
      <c r="F43" s="122" t="s">
        <v>141</v>
      </c>
      <c r="G43" s="121" t="str">
        <f>IF(ISERROR((C43*H25)),"",(C43*H25))</f>
        <v/>
      </c>
      <c r="H43" s="122" t="s">
        <v>141</v>
      </c>
    </row>
    <row r="44" spans="1:9" x14ac:dyDescent="0.25">
      <c r="A44" s="361"/>
      <c r="B44" s="123" t="s">
        <v>263</v>
      </c>
      <c r="C44" s="124" t="str">
        <f>IF(ISERROR((C42/2)),"",(C42/2))</f>
        <v/>
      </c>
      <c r="D44" s="125" t="s">
        <v>141</v>
      </c>
      <c r="E44" s="125" t="s">
        <v>141</v>
      </c>
      <c r="F44" s="125" t="s">
        <v>141</v>
      </c>
      <c r="G44" s="124" t="str">
        <f>IF(ISERROR((C44*H25)),"",(C44*H25))</f>
        <v/>
      </c>
      <c r="H44" s="125" t="s">
        <v>141</v>
      </c>
    </row>
    <row r="47" spans="1:9" x14ac:dyDescent="0.25">
      <c r="F47" s="131"/>
      <c r="G47" s="131"/>
      <c r="H47" s="131"/>
    </row>
    <row r="50" spans="6:8" x14ac:dyDescent="0.25">
      <c r="F50" s="337"/>
      <c r="G50" s="337"/>
      <c r="H50" s="337"/>
    </row>
  </sheetData>
  <sheetProtection password="CF7A" sheet="1" objects="1" scenarios="1" selectLockedCells="1"/>
  <mergeCells count="42">
    <mergeCell ref="A16:H16"/>
    <mergeCell ref="D17:E17"/>
    <mergeCell ref="D18:E18"/>
    <mergeCell ref="G17:H17"/>
    <mergeCell ref="G18:H18"/>
    <mergeCell ref="F50:H50"/>
    <mergeCell ref="E37:F37"/>
    <mergeCell ref="A20:I20"/>
    <mergeCell ref="A22:I22"/>
    <mergeCell ref="A39:H39"/>
    <mergeCell ref="A41:H41"/>
    <mergeCell ref="E36:F36"/>
    <mergeCell ref="A32:A34"/>
    <mergeCell ref="B32:B34"/>
    <mergeCell ref="C32:C34"/>
    <mergeCell ref="D32:D34"/>
    <mergeCell ref="E32:F34"/>
    <mergeCell ref="G32:H32"/>
    <mergeCell ref="D38:F38"/>
    <mergeCell ref="A42:A44"/>
    <mergeCell ref="A31:H31"/>
    <mergeCell ref="A35:H35"/>
    <mergeCell ref="A1:D5"/>
    <mergeCell ref="C24:E24"/>
    <mergeCell ref="H24:I24"/>
    <mergeCell ref="A28:C29"/>
    <mergeCell ref="F24:G24"/>
    <mergeCell ref="F25:G25"/>
    <mergeCell ref="A26:B26"/>
    <mergeCell ref="C26:E26"/>
    <mergeCell ref="F26:G26"/>
    <mergeCell ref="A25:B25"/>
    <mergeCell ref="C25:E25"/>
    <mergeCell ref="A8:I8"/>
    <mergeCell ref="G15:H15"/>
    <mergeCell ref="G14:H14"/>
    <mergeCell ref="C12:D12"/>
    <mergeCell ref="D15:E15"/>
    <mergeCell ref="A10:H10"/>
    <mergeCell ref="A13:H13"/>
    <mergeCell ref="E12:F12"/>
    <mergeCell ref="D14:E14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List3"/>
  <dimension ref="A1:S48"/>
  <sheetViews>
    <sheetView topLeftCell="A25" workbookViewId="0">
      <selection activeCell="G60" sqref="G60"/>
    </sheetView>
  </sheetViews>
  <sheetFormatPr defaultRowHeight="15" x14ac:dyDescent="0.25"/>
  <cols>
    <col min="4" max="4" width="15" customWidth="1"/>
  </cols>
  <sheetData>
    <row r="1" spans="1:19" x14ac:dyDescent="0.25">
      <c r="A1">
        <f>MEL!B9</f>
        <v>4.3</v>
      </c>
      <c r="M1">
        <v>1</v>
      </c>
      <c r="N1">
        <v>0</v>
      </c>
    </row>
    <row r="2" spans="1:19" x14ac:dyDescent="0.25">
      <c r="C2">
        <v>1</v>
      </c>
      <c r="D2">
        <v>0</v>
      </c>
      <c r="E2">
        <v>0</v>
      </c>
      <c r="K2">
        <v>2</v>
      </c>
      <c r="L2">
        <v>10</v>
      </c>
      <c r="M2">
        <v>2</v>
      </c>
      <c r="N2">
        <v>1</v>
      </c>
    </row>
    <row r="3" spans="1:19" x14ac:dyDescent="0.25">
      <c r="A3">
        <v>2</v>
      </c>
      <c r="B3" t="s">
        <v>219</v>
      </c>
      <c r="C3">
        <v>2</v>
      </c>
      <c r="D3" t="s">
        <v>218</v>
      </c>
      <c r="E3">
        <v>5.5</v>
      </c>
      <c r="G3">
        <v>4</v>
      </c>
      <c r="H3" t="str">
        <f>VLOOKUP(G3,kis,2,FALSE)</f>
        <v xml:space="preserve">Ilovasta pjeskulja </v>
      </c>
      <c r="I3">
        <f>VLOOKUP(G3,kis,3,FALSE)</f>
        <v>6.6</v>
      </c>
      <c r="K3">
        <v>3</v>
      </c>
      <c r="L3">
        <v>15</v>
      </c>
      <c r="M3">
        <v>3</v>
      </c>
      <c r="N3">
        <v>1.5</v>
      </c>
    </row>
    <row r="4" spans="1:19" x14ac:dyDescent="0.25">
      <c r="A4">
        <v>3</v>
      </c>
      <c r="B4" t="s">
        <v>217</v>
      </c>
      <c r="C4">
        <v>3</v>
      </c>
      <c r="D4" t="s">
        <v>216</v>
      </c>
      <c r="E4">
        <v>6</v>
      </c>
      <c r="K4">
        <v>4</v>
      </c>
      <c r="L4">
        <v>20</v>
      </c>
      <c r="M4">
        <v>4</v>
      </c>
      <c r="N4">
        <v>2</v>
      </c>
      <c r="Q4" t="s">
        <v>127</v>
      </c>
      <c r="R4" t="s">
        <v>228</v>
      </c>
      <c r="S4" t="s">
        <v>231</v>
      </c>
    </row>
    <row r="5" spans="1:19" x14ac:dyDescent="0.25">
      <c r="A5">
        <v>4</v>
      </c>
      <c r="B5" t="s">
        <v>215</v>
      </c>
      <c r="C5">
        <v>4</v>
      </c>
      <c r="D5" t="s">
        <v>214</v>
      </c>
      <c r="E5">
        <v>6.6</v>
      </c>
      <c r="K5">
        <v>5</v>
      </c>
      <c r="L5">
        <v>25</v>
      </c>
      <c r="M5">
        <v>5</v>
      </c>
      <c r="N5">
        <v>2.5</v>
      </c>
    </row>
    <row r="6" spans="1:19" x14ac:dyDescent="0.25">
      <c r="A6">
        <v>5</v>
      </c>
      <c r="B6" t="s">
        <v>213</v>
      </c>
      <c r="C6">
        <v>5</v>
      </c>
      <c r="D6" t="s">
        <v>212</v>
      </c>
      <c r="E6">
        <v>6.6</v>
      </c>
      <c r="K6">
        <v>6</v>
      </c>
      <c r="L6">
        <v>30</v>
      </c>
      <c r="M6">
        <v>6</v>
      </c>
      <c r="N6">
        <v>3</v>
      </c>
    </row>
    <row r="7" spans="1:19" x14ac:dyDescent="0.25">
      <c r="A7">
        <v>6</v>
      </c>
      <c r="B7" t="s">
        <v>211</v>
      </c>
      <c r="C7">
        <v>6</v>
      </c>
      <c r="D7" t="s">
        <v>210</v>
      </c>
      <c r="E7">
        <v>6.6</v>
      </c>
      <c r="H7" t="str">
        <f>VLOOKUP(G3,tekstura,2,FALSE)</f>
        <v xml:space="preserve"> 13-15  </v>
      </c>
      <c r="I7">
        <f>(I3-A1)/(I8-A1)</f>
        <v>0.85185185185185175</v>
      </c>
      <c r="K7">
        <v>7</v>
      </c>
      <c r="L7">
        <v>35</v>
      </c>
      <c r="M7">
        <v>7</v>
      </c>
      <c r="N7">
        <v>3.5</v>
      </c>
    </row>
    <row r="8" spans="1:19" x14ac:dyDescent="0.25">
      <c r="A8">
        <v>7</v>
      </c>
      <c r="B8" t="s">
        <v>209</v>
      </c>
      <c r="C8">
        <v>7</v>
      </c>
      <c r="D8" t="s">
        <v>208</v>
      </c>
      <c r="E8">
        <v>7.1</v>
      </c>
      <c r="I8">
        <v>7</v>
      </c>
      <c r="K8">
        <v>8</v>
      </c>
      <c r="L8">
        <v>40</v>
      </c>
      <c r="M8">
        <v>8</v>
      </c>
      <c r="N8">
        <v>4</v>
      </c>
    </row>
    <row r="9" spans="1:19" x14ac:dyDescent="0.25">
      <c r="A9">
        <v>8</v>
      </c>
      <c r="B9" t="s">
        <v>207</v>
      </c>
      <c r="C9">
        <v>8</v>
      </c>
      <c r="D9" t="s">
        <v>206</v>
      </c>
      <c r="E9">
        <v>7.1</v>
      </c>
      <c r="I9">
        <v>1.78</v>
      </c>
      <c r="K9">
        <v>9</v>
      </c>
      <c r="L9">
        <v>45</v>
      </c>
      <c r="M9">
        <v>9</v>
      </c>
      <c r="N9">
        <v>4.5</v>
      </c>
    </row>
    <row r="10" spans="1:19" x14ac:dyDescent="0.25">
      <c r="K10">
        <v>10</v>
      </c>
      <c r="L10">
        <v>50</v>
      </c>
      <c r="M10">
        <v>10</v>
      </c>
      <c r="N10">
        <v>5</v>
      </c>
    </row>
    <row r="11" spans="1:19" x14ac:dyDescent="0.25">
      <c r="K11">
        <v>11</v>
      </c>
      <c r="L11">
        <v>55</v>
      </c>
      <c r="M11">
        <v>11</v>
      </c>
      <c r="N11">
        <v>5.5</v>
      </c>
    </row>
    <row r="12" spans="1:19" x14ac:dyDescent="0.25">
      <c r="K12">
        <v>12</v>
      </c>
      <c r="L12">
        <v>60</v>
      </c>
      <c r="M12">
        <v>12</v>
      </c>
      <c r="N12">
        <v>6</v>
      </c>
    </row>
    <row r="13" spans="1:19" x14ac:dyDescent="0.25">
      <c r="B13">
        <v>1</v>
      </c>
      <c r="C13">
        <v>0</v>
      </c>
      <c r="D13">
        <v>0</v>
      </c>
      <c r="F13">
        <v>5</v>
      </c>
      <c r="G13">
        <f>VLOOKUP(F13,ca,2,FALSE)</f>
        <v>2.7</v>
      </c>
      <c r="H13">
        <f>VLOOKUP(F13,ca,3,FALSE)</f>
        <v>1065</v>
      </c>
      <c r="I13">
        <f>H13*I7*G14</f>
        <v>2721.6666666666661</v>
      </c>
      <c r="J13">
        <f>I13*I9</f>
        <v>4844.5666666666657</v>
      </c>
      <c r="M13" t="s">
        <v>205</v>
      </c>
    </row>
    <row r="14" spans="1:19" x14ac:dyDescent="0.25">
      <c r="A14">
        <v>6.9</v>
      </c>
      <c r="B14">
        <v>2</v>
      </c>
      <c r="C14">
        <v>0.7</v>
      </c>
      <c r="D14">
        <v>300</v>
      </c>
      <c r="F14">
        <v>6</v>
      </c>
      <c r="G14">
        <f>VLOOKUP(F14,dub,2,FALSE)</f>
        <v>3</v>
      </c>
    </row>
    <row r="15" spans="1:19" x14ac:dyDescent="0.25">
      <c r="A15">
        <v>6.8</v>
      </c>
      <c r="B15">
        <v>3</v>
      </c>
      <c r="C15">
        <v>1.4</v>
      </c>
      <c r="D15">
        <v>600</v>
      </c>
      <c r="I15">
        <f>K19*J15</f>
        <v>3000</v>
      </c>
      <c r="J15">
        <v>1000</v>
      </c>
      <c r="K15">
        <v>10000</v>
      </c>
      <c r="L15">
        <f>K18*J15</f>
        <v>1300</v>
      </c>
    </row>
    <row r="16" spans="1:19" x14ac:dyDescent="0.25">
      <c r="A16">
        <v>6.7</v>
      </c>
      <c r="B16">
        <v>4</v>
      </c>
      <c r="C16">
        <v>2.1</v>
      </c>
      <c r="D16">
        <v>850</v>
      </c>
      <c r="G16" t="s">
        <v>204</v>
      </c>
    </row>
    <row r="17" spans="1:13" x14ac:dyDescent="0.25">
      <c r="A17">
        <v>6.6</v>
      </c>
      <c r="B17">
        <v>5</v>
      </c>
      <c r="C17">
        <v>2.7</v>
      </c>
      <c r="D17">
        <v>1065</v>
      </c>
      <c r="H17">
        <v>1</v>
      </c>
      <c r="I17">
        <v>0</v>
      </c>
    </row>
    <row r="18" spans="1:13" x14ac:dyDescent="0.25">
      <c r="A18">
        <v>6.5</v>
      </c>
      <c r="B18">
        <v>6</v>
      </c>
      <c r="C18">
        <v>3.5</v>
      </c>
      <c r="D18">
        <v>1450</v>
      </c>
      <c r="F18">
        <f>VLOOKUP(F14,dubi,2,FALSE)</f>
        <v>30</v>
      </c>
      <c r="G18">
        <v>1</v>
      </c>
      <c r="H18">
        <v>2</v>
      </c>
      <c r="I18" s="32">
        <v>1</v>
      </c>
      <c r="J18">
        <v>5</v>
      </c>
      <c r="K18">
        <f>VLOOKUP(J18,stv,2,FALSE)</f>
        <v>1.3</v>
      </c>
    </row>
    <row r="19" spans="1:13" x14ac:dyDescent="0.25">
      <c r="A19">
        <v>6.4</v>
      </c>
      <c r="B19">
        <v>7</v>
      </c>
      <c r="C19">
        <v>4.3</v>
      </c>
      <c r="D19">
        <v>1800</v>
      </c>
      <c r="G19">
        <v>1.1000000000000001</v>
      </c>
      <c r="H19">
        <v>3</v>
      </c>
      <c r="I19" s="32">
        <v>1.1000000000000001</v>
      </c>
      <c r="J19">
        <v>6</v>
      </c>
      <c r="K19">
        <f>VLOOKUP(J19,dub,2,FALSE)</f>
        <v>3</v>
      </c>
      <c r="L19">
        <f>L15*I15</f>
        <v>3900000</v>
      </c>
      <c r="M19">
        <f>I15/100</f>
        <v>30</v>
      </c>
    </row>
    <row r="20" spans="1:13" x14ac:dyDescent="0.25">
      <c r="A20">
        <v>6.3</v>
      </c>
      <c r="B20">
        <v>8</v>
      </c>
      <c r="C20">
        <v>5.4</v>
      </c>
      <c r="D20">
        <v>2250</v>
      </c>
      <c r="G20">
        <v>1.2</v>
      </c>
      <c r="H20">
        <v>4</v>
      </c>
      <c r="I20" s="32">
        <v>1.2</v>
      </c>
      <c r="K20">
        <v>3.5</v>
      </c>
    </row>
    <row r="21" spans="1:13" x14ac:dyDescent="0.25">
      <c r="A21">
        <v>6.2</v>
      </c>
      <c r="B21">
        <v>9</v>
      </c>
      <c r="C21">
        <v>6.5</v>
      </c>
      <c r="D21">
        <v>2750</v>
      </c>
      <c r="G21">
        <v>1.3</v>
      </c>
      <c r="H21">
        <v>5</v>
      </c>
      <c r="I21" s="32">
        <v>1.3</v>
      </c>
      <c r="J21" t="s">
        <v>32</v>
      </c>
    </row>
    <row r="22" spans="1:13" x14ac:dyDescent="0.25">
      <c r="A22">
        <v>6.1</v>
      </c>
      <c r="B22">
        <v>10</v>
      </c>
      <c r="C22">
        <v>8.3000000000000007</v>
      </c>
      <c r="D22">
        <v>3500</v>
      </c>
      <c r="G22">
        <v>1.4</v>
      </c>
      <c r="H22">
        <v>6</v>
      </c>
      <c r="I22" s="32">
        <v>1.4</v>
      </c>
      <c r="J22">
        <v>7</v>
      </c>
    </row>
    <row r="23" spans="1:13" x14ac:dyDescent="0.25">
      <c r="A23">
        <v>6</v>
      </c>
      <c r="B23">
        <v>11</v>
      </c>
      <c r="C23">
        <v>11</v>
      </c>
      <c r="D23">
        <v>4500</v>
      </c>
      <c r="G23">
        <v>1.5</v>
      </c>
      <c r="H23">
        <v>7</v>
      </c>
      <c r="I23" s="32">
        <v>1.5</v>
      </c>
      <c r="J23">
        <v>1</v>
      </c>
    </row>
    <row r="24" spans="1:13" x14ac:dyDescent="0.25">
      <c r="A24">
        <v>5.9</v>
      </c>
      <c r="B24">
        <v>12</v>
      </c>
      <c r="C24">
        <v>14</v>
      </c>
      <c r="D24">
        <v>6000</v>
      </c>
      <c r="G24">
        <v>1.6</v>
      </c>
      <c r="H24">
        <v>8</v>
      </c>
      <c r="I24" s="32">
        <v>1.6</v>
      </c>
      <c r="J24">
        <f>VLOOKUP(J23,dub,2,FALSE)</f>
        <v>0</v>
      </c>
      <c r="K24">
        <f>J24*1000</f>
        <v>0</v>
      </c>
      <c r="L24">
        <f>K24*K25</f>
        <v>0</v>
      </c>
    </row>
    <row r="25" spans="1:13" x14ac:dyDescent="0.25">
      <c r="A25">
        <v>5.8</v>
      </c>
      <c r="B25">
        <v>13</v>
      </c>
      <c r="C25">
        <v>23</v>
      </c>
      <c r="D25">
        <v>9500</v>
      </c>
      <c r="G25">
        <v>1.7</v>
      </c>
      <c r="H25">
        <v>9</v>
      </c>
      <c r="I25" s="32">
        <v>1.7</v>
      </c>
      <c r="J25">
        <v>1</v>
      </c>
      <c r="K25">
        <f>J25*J15</f>
        <v>1000</v>
      </c>
      <c r="M25">
        <f>K24/100</f>
        <v>0</v>
      </c>
    </row>
    <row r="26" spans="1:13" x14ac:dyDescent="0.25">
      <c r="G26">
        <v>1.8</v>
      </c>
      <c r="H26">
        <v>10</v>
      </c>
      <c r="I26" s="32">
        <v>1.8</v>
      </c>
      <c r="J26">
        <f>VLOOKUP(J25,stv,2,FALSE)</f>
        <v>0</v>
      </c>
      <c r="K26">
        <f>J26*1000</f>
        <v>0</v>
      </c>
      <c r="L26">
        <f>K24*K26</f>
        <v>0</v>
      </c>
    </row>
    <row r="27" spans="1:13" x14ac:dyDescent="0.25">
      <c r="G27">
        <v>1.9</v>
      </c>
      <c r="H27">
        <v>11</v>
      </c>
      <c r="I27" s="32">
        <v>1.9</v>
      </c>
    </row>
    <row r="28" spans="1:13" x14ac:dyDescent="0.25">
      <c r="G28">
        <v>2</v>
      </c>
      <c r="H28">
        <v>12</v>
      </c>
      <c r="I28" s="32">
        <v>2</v>
      </c>
    </row>
    <row r="29" spans="1:13" x14ac:dyDescent="0.25">
      <c r="B29" t="str">
        <f>VLOOKUP(F31,MAP,2,FALSE)</f>
        <v>Super fosfat</v>
      </c>
    </row>
    <row r="30" spans="1:13" x14ac:dyDescent="0.25">
      <c r="B30">
        <v>1</v>
      </c>
      <c r="C30" t="s">
        <v>226</v>
      </c>
      <c r="D30">
        <v>1</v>
      </c>
      <c r="E30">
        <v>0</v>
      </c>
    </row>
    <row r="31" spans="1:13" x14ac:dyDescent="0.25">
      <c r="A31">
        <f>MEL!E22</f>
        <v>5</v>
      </c>
      <c r="B31">
        <v>2</v>
      </c>
      <c r="C31" t="s">
        <v>203</v>
      </c>
      <c r="D31">
        <v>2</v>
      </c>
      <c r="E31" s="17">
        <v>0.18</v>
      </c>
      <c r="F31">
        <v>2</v>
      </c>
      <c r="G31">
        <f>VLOOKUP(F31,pp,2,FALSE)</f>
        <v>0.18</v>
      </c>
      <c r="I31" s="33">
        <v>1</v>
      </c>
      <c r="J31" t="s">
        <v>202</v>
      </c>
    </row>
    <row r="32" spans="1:13" x14ac:dyDescent="0.25">
      <c r="A32">
        <f>MEL!B25</f>
        <v>20</v>
      </c>
      <c r="B32">
        <v>3</v>
      </c>
      <c r="C32" t="s">
        <v>125</v>
      </c>
      <c r="D32">
        <v>3</v>
      </c>
      <c r="E32" s="17">
        <v>0.45</v>
      </c>
      <c r="I32" s="33">
        <v>2</v>
      </c>
      <c r="J32" t="s">
        <v>201</v>
      </c>
    </row>
    <row r="33" spans="1:14" x14ac:dyDescent="0.25">
      <c r="A33">
        <f>A32-A31</f>
        <v>15</v>
      </c>
      <c r="B33">
        <v>4</v>
      </c>
      <c r="C33" t="s">
        <v>126</v>
      </c>
      <c r="D33">
        <v>4</v>
      </c>
      <c r="E33" s="17">
        <v>0.4</v>
      </c>
      <c r="I33" s="33">
        <v>3</v>
      </c>
      <c r="J33" t="s">
        <v>200</v>
      </c>
      <c r="M33">
        <f>VLOOKUP(F31,sup,3,FALSE)</f>
        <v>0</v>
      </c>
    </row>
    <row r="34" spans="1:14" x14ac:dyDescent="0.25">
      <c r="A34">
        <f>A33/1000</f>
        <v>1.4999999999999999E-2</v>
      </c>
      <c r="B34">
        <v>5</v>
      </c>
      <c r="C34" t="s">
        <v>127</v>
      </c>
      <c r="D34">
        <v>5</v>
      </c>
      <c r="E34" s="17">
        <v>0.52</v>
      </c>
      <c r="I34" s="33">
        <v>4</v>
      </c>
      <c r="J34" t="s">
        <v>199</v>
      </c>
    </row>
    <row r="35" spans="1:14" x14ac:dyDescent="0.25">
      <c r="A35">
        <f>A34/100</f>
        <v>1.4999999999999999E-4</v>
      </c>
      <c r="B35">
        <v>6</v>
      </c>
      <c r="C35" t="s">
        <v>198</v>
      </c>
      <c r="D35">
        <v>6</v>
      </c>
      <c r="E35" s="17">
        <v>0.13</v>
      </c>
      <c r="I35" s="33">
        <v>5</v>
      </c>
      <c r="J35" t="s">
        <v>197</v>
      </c>
      <c r="K35" s="83">
        <v>0.12</v>
      </c>
      <c r="N35">
        <f>D38*M33</f>
        <v>0</v>
      </c>
    </row>
    <row r="36" spans="1:14" x14ac:dyDescent="0.25">
      <c r="I36" s="33">
        <v>6</v>
      </c>
      <c r="J36" t="s">
        <v>196</v>
      </c>
    </row>
    <row r="38" spans="1:14" x14ac:dyDescent="0.25">
      <c r="A38">
        <f>MEL!E31</f>
        <v>0</v>
      </c>
      <c r="C38">
        <f>A35*L19</f>
        <v>585</v>
      </c>
      <c r="D38">
        <f>C38/G31</f>
        <v>3250</v>
      </c>
      <c r="E38" t="str">
        <f>VLOOKUP(F31,sup,2,FALSE)</f>
        <v>Superfosfat (kg/ha)</v>
      </c>
    </row>
    <row r="39" spans="1:14" x14ac:dyDescent="0.25">
      <c r="A39">
        <f>MEL!B34</f>
        <v>0</v>
      </c>
    </row>
    <row r="40" spans="1:14" x14ac:dyDescent="0.25">
      <c r="A40">
        <f>A39-A38</f>
        <v>0</v>
      </c>
    </row>
    <row r="41" spans="1:14" x14ac:dyDescent="0.25">
      <c r="A41">
        <f>A40/1000</f>
        <v>0</v>
      </c>
    </row>
    <row r="42" spans="1:14" x14ac:dyDescent="0.25">
      <c r="A42">
        <f>A41/100</f>
        <v>0</v>
      </c>
      <c r="C42">
        <f>A42*L26</f>
        <v>0</v>
      </c>
    </row>
    <row r="43" spans="1:14" x14ac:dyDescent="0.25">
      <c r="G43">
        <v>1</v>
      </c>
      <c r="I43">
        <v>1</v>
      </c>
      <c r="J43" t="s">
        <v>195</v>
      </c>
    </row>
    <row r="44" spans="1:14" x14ac:dyDescent="0.25">
      <c r="C44" t="s">
        <v>195</v>
      </c>
      <c r="D44">
        <v>1</v>
      </c>
      <c r="G44">
        <f>VLOOKUP(G43,kk,2,FALSE)</f>
        <v>0</v>
      </c>
      <c r="I44">
        <v>2</v>
      </c>
      <c r="J44" t="s">
        <v>194</v>
      </c>
    </row>
    <row r="45" spans="1:14" x14ac:dyDescent="0.25">
      <c r="B45">
        <v>2</v>
      </c>
      <c r="C45" t="s">
        <v>193</v>
      </c>
      <c r="D45">
        <v>2</v>
      </c>
      <c r="E45" s="17">
        <v>0.4</v>
      </c>
      <c r="G45" t="e">
        <f>C42/G44</f>
        <v>#DIV/0!</v>
      </c>
      <c r="I45">
        <v>3</v>
      </c>
      <c r="J45" t="s">
        <v>192</v>
      </c>
    </row>
    <row r="46" spans="1:14" x14ac:dyDescent="0.25">
      <c r="B46">
        <v>3</v>
      </c>
      <c r="C46" t="s">
        <v>191</v>
      </c>
      <c r="D46">
        <v>3</v>
      </c>
      <c r="E46" s="17">
        <v>0.6</v>
      </c>
      <c r="I46">
        <v>4</v>
      </c>
      <c r="J46" t="s">
        <v>190</v>
      </c>
    </row>
    <row r="47" spans="1:14" x14ac:dyDescent="0.25">
      <c r="B47">
        <v>4</v>
      </c>
      <c r="C47" t="s">
        <v>132</v>
      </c>
      <c r="D47">
        <v>4</v>
      </c>
      <c r="E47" s="17">
        <v>0.5</v>
      </c>
      <c r="I47">
        <v>5</v>
      </c>
      <c r="J47" t="s">
        <v>189</v>
      </c>
    </row>
    <row r="48" spans="1:14" x14ac:dyDescent="0.25">
      <c r="B48">
        <v>5</v>
      </c>
      <c r="C48" t="s">
        <v>188</v>
      </c>
      <c r="D48">
        <v>5</v>
      </c>
      <c r="E48" s="17">
        <v>0.3</v>
      </c>
      <c r="G48" t="str">
        <f>VLOOKUP(G43,kd,2,FALSE)</f>
        <v>Bez đubrenja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List21"/>
  <dimension ref="A1:W60"/>
  <sheetViews>
    <sheetView zoomScale="172" zoomScaleNormal="172" workbookViewId="0">
      <selection activeCell="L35" sqref="L35"/>
    </sheetView>
  </sheetViews>
  <sheetFormatPr defaultRowHeight="15" x14ac:dyDescent="0.25"/>
  <sheetData>
    <row r="1" spans="1:23" x14ac:dyDescent="0.25">
      <c r="A1" s="1"/>
      <c r="B1" s="2" t="s">
        <v>0</v>
      </c>
      <c r="C1" s="2"/>
      <c r="D1" s="3"/>
      <c r="F1" t="s">
        <v>20</v>
      </c>
      <c r="G1" t="s">
        <v>24</v>
      </c>
      <c r="I1" s="1"/>
      <c r="J1" s="3"/>
      <c r="P1" s="1"/>
      <c r="Q1" t="s">
        <v>160</v>
      </c>
      <c r="R1">
        <v>0</v>
      </c>
      <c r="T1" s="142">
        <v>1</v>
      </c>
      <c r="U1">
        <f>VLOOKUP(T1,ostaci,2,FALSE)-1</f>
        <v>0</v>
      </c>
    </row>
    <row r="2" spans="1:23" x14ac:dyDescent="0.25">
      <c r="A2" s="7"/>
      <c r="B2" s="8" t="s">
        <v>17</v>
      </c>
      <c r="C2" s="8" t="s">
        <v>18</v>
      </c>
      <c r="D2" s="9" t="s">
        <v>19</v>
      </c>
      <c r="F2" s="1" t="s">
        <v>21</v>
      </c>
      <c r="G2" s="3" t="s">
        <v>57</v>
      </c>
      <c r="H2">
        <v>2</v>
      </c>
      <c r="I2" s="4" t="s">
        <v>21</v>
      </c>
      <c r="J2" s="12">
        <v>1</v>
      </c>
      <c r="K2">
        <v>2</v>
      </c>
      <c r="L2" s="4" t="s">
        <v>26</v>
      </c>
      <c r="M2" s="12">
        <v>2</v>
      </c>
      <c r="N2" s="132">
        <v>2</v>
      </c>
      <c r="O2" s="4" t="s">
        <v>26</v>
      </c>
      <c r="P2" s="12">
        <v>1.5</v>
      </c>
      <c r="Q2" s="132">
        <v>1</v>
      </c>
      <c r="R2" s="132">
        <v>1</v>
      </c>
      <c r="S2">
        <v>8</v>
      </c>
      <c r="T2">
        <f>IF(ISERROR((S2*U1)),"",(S2*U1))</f>
        <v>0</v>
      </c>
      <c r="U2" s="17">
        <v>0.46</v>
      </c>
    </row>
    <row r="3" spans="1:23" x14ac:dyDescent="0.25">
      <c r="A3" s="4" t="s">
        <v>1</v>
      </c>
      <c r="B3" s="5">
        <v>25</v>
      </c>
      <c r="C3" s="5">
        <v>13</v>
      </c>
      <c r="D3" s="6">
        <v>22</v>
      </c>
      <c r="F3" s="10" t="s">
        <v>22</v>
      </c>
      <c r="G3" s="6" t="s">
        <v>58</v>
      </c>
      <c r="H3">
        <v>3</v>
      </c>
      <c r="I3" s="4" t="s">
        <v>22</v>
      </c>
      <c r="J3" s="12">
        <v>0.9</v>
      </c>
      <c r="K3">
        <v>3</v>
      </c>
      <c r="L3" s="10" t="s">
        <v>27</v>
      </c>
      <c r="M3" s="12">
        <v>1.5</v>
      </c>
      <c r="N3">
        <v>3</v>
      </c>
      <c r="O3" s="4" t="s">
        <v>27</v>
      </c>
      <c r="P3" s="12">
        <v>1.25</v>
      </c>
      <c r="Q3">
        <v>2</v>
      </c>
      <c r="R3">
        <v>2</v>
      </c>
    </row>
    <row r="4" spans="1:23" x14ac:dyDescent="0.25">
      <c r="A4" s="4" t="s">
        <v>2</v>
      </c>
      <c r="B4" s="5">
        <v>24</v>
      </c>
      <c r="C4" s="5">
        <v>12</v>
      </c>
      <c r="D4" s="6">
        <v>26</v>
      </c>
      <c r="F4" s="7" t="s">
        <v>23</v>
      </c>
      <c r="G4" s="9" t="s">
        <v>59</v>
      </c>
      <c r="H4">
        <v>4</v>
      </c>
      <c r="I4" s="4" t="s">
        <v>23</v>
      </c>
      <c r="J4" s="12">
        <v>0.8</v>
      </c>
      <c r="K4">
        <v>4</v>
      </c>
      <c r="L4" s="10" t="s">
        <v>28</v>
      </c>
      <c r="M4" s="12">
        <v>1.25</v>
      </c>
      <c r="N4">
        <v>4</v>
      </c>
      <c r="O4" s="4" t="s">
        <v>28</v>
      </c>
      <c r="P4" s="12">
        <v>1</v>
      </c>
      <c r="Q4">
        <v>3</v>
      </c>
      <c r="R4">
        <v>3</v>
      </c>
      <c r="T4" s="33">
        <f>IF(ISERROR((T2/U2)),"",(T2/U2))</f>
        <v>0</v>
      </c>
    </row>
    <row r="5" spans="1:23" x14ac:dyDescent="0.25">
      <c r="A5" s="4" t="s">
        <v>3</v>
      </c>
      <c r="B5" s="5">
        <v>22</v>
      </c>
      <c r="C5" s="5">
        <v>14</v>
      </c>
      <c r="D5" s="6">
        <v>23</v>
      </c>
      <c r="E5" s="23"/>
      <c r="F5" s="132"/>
      <c r="H5">
        <v>5</v>
      </c>
      <c r="I5" s="4" t="s">
        <v>57</v>
      </c>
      <c r="J5" s="12">
        <v>0.9</v>
      </c>
      <c r="K5">
        <v>5</v>
      </c>
      <c r="L5" s="10" t="s">
        <v>29</v>
      </c>
      <c r="M5" s="12">
        <v>1</v>
      </c>
      <c r="N5">
        <v>5</v>
      </c>
      <c r="O5" s="4" t="s">
        <v>29</v>
      </c>
      <c r="P5" s="12">
        <v>0.8</v>
      </c>
      <c r="Q5" s="132">
        <v>4</v>
      </c>
      <c r="R5" s="132">
        <v>4</v>
      </c>
    </row>
    <row r="6" spans="1:23" x14ac:dyDescent="0.25">
      <c r="A6" s="4" t="s">
        <v>4</v>
      </c>
      <c r="B6" s="5">
        <v>28</v>
      </c>
      <c r="C6" s="5">
        <v>12</v>
      </c>
      <c r="D6" s="6">
        <v>29</v>
      </c>
      <c r="F6">
        <f>R44</f>
        <v>0</v>
      </c>
      <c r="H6">
        <v>6</v>
      </c>
      <c r="I6" s="4" t="s">
        <v>58</v>
      </c>
      <c r="J6" s="12">
        <v>0.9</v>
      </c>
      <c r="K6">
        <v>6</v>
      </c>
      <c r="L6" s="10" t="s">
        <v>30</v>
      </c>
      <c r="M6" s="12">
        <v>0.9</v>
      </c>
      <c r="N6">
        <v>6</v>
      </c>
      <c r="O6" s="4" t="s">
        <v>30</v>
      </c>
      <c r="P6" s="12">
        <v>0.7</v>
      </c>
      <c r="Q6">
        <v>5</v>
      </c>
      <c r="R6" s="132">
        <v>5</v>
      </c>
      <c r="U6" t="s">
        <v>122</v>
      </c>
    </row>
    <row r="7" spans="1:23" x14ac:dyDescent="0.25">
      <c r="A7" s="4" t="s">
        <v>5</v>
      </c>
      <c r="B7" s="5">
        <v>26</v>
      </c>
      <c r="C7" s="5">
        <v>11</v>
      </c>
      <c r="D7" s="6">
        <v>25</v>
      </c>
      <c r="F7">
        <f>R45</f>
        <v>0</v>
      </c>
      <c r="H7">
        <v>7</v>
      </c>
      <c r="I7" s="7" t="s">
        <v>59</v>
      </c>
      <c r="J7" s="13">
        <v>0.6</v>
      </c>
      <c r="K7">
        <v>7</v>
      </c>
      <c r="L7" s="11" t="s">
        <v>31</v>
      </c>
      <c r="M7" s="13">
        <v>0.8</v>
      </c>
      <c r="N7">
        <v>7</v>
      </c>
      <c r="O7" s="7" t="s">
        <v>31</v>
      </c>
      <c r="P7" s="13">
        <v>0.5</v>
      </c>
      <c r="Q7">
        <v>6</v>
      </c>
      <c r="R7" s="132">
        <v>6</v>
      </c>
      <c r="U7" t="s">
        <v>161</v>
      </c>
      <c r="V7" s="145">
        <v>1</v>
      </c>
      <c r="W7">
        <f>VLOOKUP(V7,fosfdj,3,FALSE)</f>
        <v>0</v>
      </c>
    </row>
    <row r="8" spans="1:23" x14ac:dyDescent="0.25">
      <c r="A8" s="4" t="s">
        <v>6</v>
      </c>
      <c r="B8" s="5">
        <v>60</v>
      </c>
      <c r="C8" s="5">
        <v>15</v>
      </c>
      <c r="D8" s="6">
        <v>35</v>
      </c>
      <c r="F8">
        <f>R46</f>
        <v>0</v>
      </c>
      <c r="H8" s="142">
        <v>2</v>
      </c>
      <c r="I8" s="139" t="s">
        <v>158</v>
      </c>
      <c r="L8" s="142">
        <v>1</v>
      </c>
      <c r="M8" s="1" t="s">
        <v>25</v>
      </c>
      <c r="O8" s="142">
        <v>1</v>
      </c>
      <c r="P8" t="s">
        <v>32</v>
      </c>
      <c r="Q8" s="132">
        <v>7</v>
      </c>
      <c r="R8" s="132">
        <v>7</v>
      </c>
      <c r="S8" s="142">
        <v>1</v>
      </c>
      <c r="U8">
        <v>1</v>
      </c>
      <c r="V8" t="s">
        <v>123</v>
      </c>
      <c r="W8">
        <v>0</v>
      </c>
    </row>
    <row r="9" spans="1:23" x14ac:dyDescent="0.25">
      <c r="A9" s="4" t="s">
        <v>7</v>
      </c>
      <c r="B9" s="5">
        <v>70</v>
      </c>
      <c r="C9" s="5">
        <v>15</v>
      </c>
      <c r="D9" s="6">
        <v>28</v>
      </c>
      <c r="E9" s="145">
        <v>1</v>
      </c>
      <c r="F9" t="s">
        <v>33</v>
      </c>
      <c r="K9" t="s">
        <v>34</v>
      </c>
      <c r="L9" s="145">
        <v>1</v>
      </c>
      <c r="P9" t="s">
        <v>40</v>
      </c>
      <c r="Q9" s="132">
        <v>8</v>
      </c>
      <c r="R9" s="132">
        <v>8</v>
      </c>
      <c r="U9">
        <v>2</v>
      </c>
      <c r="V9" t="s">
        <v>124</v>
      </c>
      <c r="W9" s="17">
        <v>0.18</v>
      </c>
    </row>
    <row r="10" spans="1:23" x14ac:dyDescent="0.25">
      <c r="A10" s="4" t="s">
        <v>8</v>
      </c>
      <c r="B10" s="5">
        <v>58</v>
      </c>
      <c r="C10" s="5">
        <v>15</v>
      </c>
      <c r="D10" s="6">
        <v>35</v>
      </c>
      <c r="E10" s="145"/>
      <c r="L10" s="22"/>
      <c r="O10" s="142">
        <v>1</v>
      </c>
      <c r="U10">
        <v>3</v>
      </c>
      <c r="V10" t="s">
        <v>125</v>
      </c>
      <c r="W10" s="17">
        <v>0.45</v>
      </c>
    </row>
    <row r="11" spans="1:23" x14ac:dyDescent="0.25">
      <c r="A11" s="4" t="s">
        <v>9</v>
      </c>
      <c r="B11" s="5">
        <v>28</v>
      </c>
      <c r="C11" s="5">
        <v>7</v>
      </c>
      <c r="D11" s="6">
        <v>18</v>
      </c>
      <c r="E11" s="143">
        <v>2</v>
      </c>
      <c r="F11" s="14" t="s">
        <v>62</v>
      </c>
      <c r="G11" s="18">
        <v>0</v>
      </c>
      <c r="H11" s="18">
        <v>0.13</v>
      </c>
      <c r="I11" s="21">
        <v>0.16</v>
      </c>
      <c r="J11" s="147">
        <v>2</v>
      </c>
      <c r="K11" s="14" t="s">
        <v>76</v>
      </c>
      <c r="L11" s="18">
        <v>0.1</v>
      </c>
      <c r="M11" s="18">
        <v>0.1</v>
      </c>
      <c r="N11" s="21">
        <v>0.1</v>
      </c>
      <c r="O11" s="141">
        <v>2</v>
      </c>
      <c r="P11" s="28">
        <v>10</v>
      </c>
      <c r="R11">
        <v>2</v>
      </c>
      <c r="S11" t="s">
        <v>43</v>
      </c>
      <c r="T11" s="17">
        <v>0.5</v>
      </c>
      <c r="U11">
        <v>4</v>
      </c>
      <c r="V11" t="s">
        <v>126</v>
      </c>
      <c r="W11" s="17">
        <v>0.4</v>
      </c>
    </row>
    <row r="12" spans="1:23" x14ac:dyDescent="0.25">
      <c r="A12" s="4" t="s">
        <v>10</v>
      </c>
      <c r="B12" s="5">
        <v>4</v>
      </c>
      <c r="C12" s="5">
        <v>2</v>
      </c>
      <c r="D12" s="6">
        <v>6</v>
      </c>
      <c r="E12" s="144">
        <v>3</v>
      </c>
      <c r="F12" s="15" t="s">
        <v>63</v>
      </c>
      <c r="G12" s="19">
        <v>0</v>
      </c>
      <c r="H12" s="19">
        <v>0.15</v>
      </c>
      <c r="I12" s="12">
        <v>0.25</v>
      </c>
      <c r="J12" s="141">
        <v>3</v>
      </c>
      <c r="K12" s="14" t="s">
        <v>75</v>
      </c>
      <c r="L12" s="19">
        <v>0.15</v>
      </c>
      <c r="M12" s="19">
        <v>0.15</v>
      </c>
      <c r="N12" s="12">
        <v>0.15</v>
      </c>
      <c r="O12" s="141">
        <v>3</v>
      </c>
      <c r="P12" s="28">
        <v>15</v>
      </c>
      <c r="R12">
        <v>3</v>
      </c>
      <c r="S12" t="s">
        <v>42</v>
      </c>
      <c r="T12" s="17">
        <v>0.3</v>
      </c>
      <c r="U12">
        <v>5</v>
      </c>
      <c r="V12" t="s">
        <v>127</v>
      </c>
      <c r="W12" s="17">
        <v>0.52</v>
      </c>
    </row>
    <row r="13" spans="1:23" x14ac:dyDescent="0.25">
      <c r="A13" s="4" t="s">
        <v>11</v>
      </c>
      <c r="B13" s="5">
        <v>5</v>
      </c>
      <c r="C13" s="5">
        <v>2</v>
      </c>
      <c r="D13" s="6">
        <v>8</v>
      </c>
      <c r="E13" s="144">
        <v>4</v>
      </c>
      <c r="F13" s="15" t="s">
        <v>64</v>
      </c>
      <c r="G13" s="19">
        <v>0</v>
      </c>
      <c r="H13" s="19">
        <v>0.2</v>
      </c>
      <c r="I13" s="12">
        <v>0.3</v>
      </c>
      <c r="J13" s="141">
        <v>4</v>
      </c>
      <c r="K13" s="14" t="s">
        <v>77</v>
      </c>
      <c r="L13" s="19">
        <v>0.14000000000000001</v>
      </c>
      <c r="M13" s="19">
        <v>0.14000000000000001</v>
      </c>
      <c r="N13" s="12">
        <v>0.14000000000000001</v>
      </c>
      <c r="O13" s="141">
        <v>4</v>
      </c>
      <c r="P13" s="28">
        <v>20</v>
      </c>
      <c r="R13">
        <v>4</v>
      </c>
      <c r="S13" t="s">
        <v>41</v>
      </c>
      <c r="T13" s="17">
        <v>0.2</v>
      </c>
    </row>
    <row r="14" spans="1:23" x14ac:dyDescent="0.25">
      <c r="A14" s="4" t="s">
        <v>12</v>
      </c>
      <c r="B14" s="5">
        <v>51</v>
      </c>
      <c r="C14" s="5">
        <v>28</v>
      </c>
      <c r="D14" s="6">
        <v>51</v>
      </c>
      <c r="E14" s="143">
        <v>5</v>
      </c>
      <c r="F14" s="15" t="s">
        <v>65</v>
      </c>
      <c r="G14" s="19">
        <v>0.05</v>
      </c>
      <c r="H14" s="19">
        <v>0.1</v>
      </c>
      <c r="I14" s="12">
        <v>0.2</v>
      </c>
      <c r="J14" s="147">
        <v>5</v>
      </c>
      <c r="K14" s="14" t="s">
        <v>78</v>
      </c>
      <c r="L14" s="19">
        <v>0.16</v>
      </c>
      <c r="M14" s="19">
        <v>0.16</v>
      </c>
      <c r="N14" s="12">
        <v>0.16</v>
      </c>
      <c r="O14" s="141">
        <v>5</v>
      </c>
      <c r="P14" s="28">
        <v>25</v>
      </c>
      <c r="U14" t="s">
        <v>32</v>
      </c>
      <c r="W14" s="145">
        <v>2</v>
      </c>
    </row>
    <row r="15" spans="1:23" x14ac:dyDescent="0.25">
      <c r="A15" s="4" t="s">
        <v>13</v>
      </c>
      <c r="B15" s="5">
        <v>53</v>
      </c>
      <c r="C15" s="5">
        <v>30</v>
      </c>
      <c r="D15" s="6">
        <v>153</v>
      </c>
      <c r="E15" s="144">
        <v>6</v>
      </c>
      <c r="F15" s="15" t="s">
        <v>66</v>
      </c>
      <c r="G15" s="19">
        <v>0.05</v>
      </c>
      <c r="H15" s="19">
        <v>0.15</v>
      </c>
      <c r="I15" s="12">
        <v>0.3</v>
      </c>
      <c r="J15" s="141">
        <v>6</v>
      </c>
      <c r="K15" s="14" t="s">
        <v>79</v>
      </c>
      <c r="L15" s="19">
        <v>0.17</v>
      </c>
      <c r="M15" s="19">
        <v>0.17</v>
      </c>
      <c r="N15" s="12">
        <v>0.17</v>
      </c>
      <c r="O15" s="141">
        <v>6</v>
      </c>
      <c r="P15" s="28">
        <v>30</v>
      </c>
      <c r="T15" s="33">
        <v>1</v>
      </c>
      <c r="U15" t="s">
        <v>129</v>
      </c>
      <c r="V15" s="17">
        <v>0</v>
      </c>
    </row>
    <row r="16" spans="1:23" x14ac:dyDescent="0.25">
      <c r="A16" s="4" t="s">
        <v>14</v>
      </c>
      <c r="B16" s="5">
        <v>55</v>
      </c>
      <c r="C16" s="5">
        <v>16</v>
      </c>
      <c r="D16" s="6">
        <v>82</v>
      </c>
      <c r="E16" s="144">
        <v>7</v>
      </c>
      <c r="F16" s="15" t="s">
        <v>67</v>
      </c>
      <c r="G16" s="19">
        <v>7.0000000000000007E-2</v>
      </c>
      <c r="H16" s="19">
        <v>0.2</v>
      </c>
      <c r="I16" s="12">
        <v>0.3</v>
      </c>
      <c r="J16" s="141">
        <v>7</v>
      </c>
      <c r="K16" s="14" t="s">
        <v>80</v>
      </c>
      <c r="L16" s="19">
        <v>0.2</v>
      </c>
      <c r="M16" s="19">
        <v>0.15</v>
      </c>
      <c r="N16" s="12">
        <v>0.12</v>
      </c>
      <c r="O16" s="141">
        <v>7</v>
      </c>
      <c r="P16" s="28">
        <v>35</v>
      </c>
      <c r="T16" s="33">
        <v>2</v>
      </c>
      <c r="U16" t="s">
        <v>131</v>
      </c>
      <c r="V16" s="17">
        <v>0.4</v>
      </c>
    </row>
    <row r="17" spans="1:22" x14ac:dyDescent="0.25">
      <c r="A17" s="4" t="s">
        <v>16</v>
      </c>
      <c r="B17" s="5">
        <v>37</v>
      </c>
      <c r="C17" s="5">
        <v>16</v>
      </c>
      <c r="D17" s="6">
        <v>50</v>
      </c>
      <c r="E17" s="143">
        <v>8</v>
      </c>
      <c r="F17" s="15" t="s">
        <v>68</v>
      </c>
      <c r="G17" s="19">
        <v>7.0000000000000007E-2</v>
      </c>
      <c r="H17" s="19">
        <v>0.14000000000000001</v>
      </c>
      <c r="I17" s="12">
        <v>0.18</v>
      </c>
      <c r="J17" s="147">
        <v>8</v>
      </c>
      <c r="K17" s="14" t="s">
        <v>81</v>
      </c>
      <c r="L17" s="19">
        <v>0.03</v>
      </c>
      <c r="M17" s="19">
        <v>0.11</v>
      </c>
      <c r="N17" s="12">
        <v>0.2</v>
      </c>
      <c r="O17" s="141">
        <v>8</v>
      </c>
      <c r="P17" s="28">
        <v>40</v>
      </c>
      <c r="Q17" t="s">
        <v>17</v>
      </c>
      <c r="R17" t="s">
        <v>18</v>
      </c>
      <c r="S17" t="s">
        <v>19</v>
      </c>
      <c r="T17" s="33">
        <v>3</v>
      </c>
      <c r="U17" t="s">
        <v>130</v>
      </c>
      <c r="V17" s="17">
        <v>0.6</v>
      </c>
    </row>
    <row r="18" spans="1:22" x14ac:dyDescent="0.25">
      <c r="A18" s="7" t="s">
        <v>15</v>
      </c>
      <c r="B18" s="8">
        <v>2</v>
      </c>
      <c r="C18" s="8">
        <v>1</v>
      </c>
      <c r="D18" s="9">
        <v>4</v>
      </c>
      <c r="E18" s="144">
        <v>9</v>
      </c>
      <c r="F18" s="15" t="s">
        <v>69</v>
      </c>
      <c r="G18" s="19">
        <v>0.08</v>
      </c>
      <c r="H18" s="19">
        <v>0.12</v>
      </c>
      <c r="I18" s="12">
        <v>0.16</v>
      </c>
      <c r="J18" s="141">
        <v>9</v>
      </c>
      <c r="K18" s="14" t="s">
        <v>82</v>
      </c>
      <c r="L18" s="19">
        <v>0.11</v>
      </c>
      <c r="M18" s="19">
        <v>0.11</v>
      </c>
      <c r="N18" s="12">
        <v>0.16</v>
      </c>
      <c r="P18" s="23" t="e">
        <f>U35</f>
        <v>#N/A</v>
      </c>
      <c r="Q18" s="29">
        <v>5</v>
      </c>
      <c r="R18" s="29">
        <v>2.5</v>
      </c>
      <c r="S18" s="29">
        <v>5</v>
      </c>
      <c r="T18" s="33">
        <v>4</v>
      </c>
      <c r="U18" t="s">
        <v>132</v>
      </c>
      <c r="V18" s="17">
        <v>0.5</v>
      </c>
    </row>
    <row r="19" spans="1:22" x14ac:dyDescent="0.25">
      <c r="A19" s="139" t="s">
        <v>156</v>
      </c>
      <c r="B19" s="132">
        <v>2</v>
      </c>
      <c r="C19" s="132">
        <v>3.2</v>
      </c>
      <c r="D19" s="140">
        <v>2</v>
      </c>
      <c r="E19" s="144">
        <v>10</v>
      </c>
      <c r="F19" s="15" t="s">
        <v>70</v>
      </c>
      <c r="G19" s="19">
        <v>0.08</v>
      </c>
      <c r="H19" s="19">
        <v>0.16</v>
      </c>
      <c r="I19" s="12">
        <v>0.24</v>
      </c>
      <c r="J19" s="141">
        <v>10</v>
      </c>
      <c r="K19" s="16" t="s">
        <v>83</v>
      </c>
      <c r="L19" s="20">
        <v>0.17</v>
      </c>
      <c r="M19" s="20">
        <v>0.13</v>
      </c>
      <c r="N19" s="13">
        <v>0.1</v>
      </c>
      <c r="Q19" t="e">
        <f>P18*Q18</f>
        <v>#N/A</v>
      </c>
      <c r="R19" t="e">
        <f>P18*R18</f>
        <v>#N/A</v>
      </c>
      <c r="S19" t="e">
        <f>P18*S18</f>
        <v>#N/A</v>
      </c>
      <c r="T19" s="33">
        <v>5</v>
      </c>
      <c r="U19" t="s">
        <v>133</v>
      </c>
      <c r="V19" s="17">
        <v>0.3</v>
      </c>
    </row>
    <row r="20" spans="1:22" x14ac:dyDescent="0.25">
      <c r="A20" s="139" t="s">
        <v>157</v>
      </c>
      <c r="B20" s="132">
        <v>6.25</v>
      </c>
      <c r="C20" s="132">
        <v>1.88</v>
      </c>
      <c r="D20" s="140">
        <v>7.5</v>
      </c>
      <c r="E20" s="143">
        <v>11</v>
      </c>
      <c r="F20" s="15" t="s">
        <v>71</v>
      </c>
      <c r="G20" s="19">
        <v>0.1</v>
      </c>
      <c r="H20" s="19">
        <v>0.12</v>
      </c>
      <c r="I20" s="12">
        <v>0.16</v>
      </c>
      <c r="J20" s="142">
        <v>1</v>
      </c>
      <c r="K20" t="s">
        <v>84</v>
      </c>
      <c r="L20" t="s">
        <v>17</v>
      </c>
      <c r="M20" t="s">
        <v>18</v>
      </c>
      <c r="N20" t="s">
        <v>19</v>
      </c>
      <c r="O20" s="24">
        <f>DJUB!D15</f>
        <v>0</v>
      </c>
      <c r="Q20" t="e">
        <f>VLOOKUP(S8,st,3,FALSE)</f>
        <v>#N/A</v>
      </c>
      <c r="R20" t="e">
        <f>VLOOKUP(S8,st,3,FALSE)</f>
        <v>#N/A</v>
      </c>
      <c r="S20" t="e">
        <f>VLOOKUP(S8,st,3,FALSE)</f>
        <v>#N/A</v>
      </c>
    </row>
    <row r="21" spans="1:22" x14ac:dyDescent="0.25">
      <c r="E21" s="144">
        <v>12</v>
      </c>
      <c r="F21" s="15" t="s">
        <v>72</v>
      </c>
      <c r="G21" s="19">
        <v>0.1</v>
      </c>
      <c r="H21" s="19">
        <v>0.2</v>
      </c>
      <c r="I21" s="12">
        <v>0.3</v>
      </c>
      <c r="J21" s="24" t="e">
        <f>VLOOKUP(J20,humsol,2,FALSE)</f>
        <v>#N/A</v>
      </c>
      <c r="K21" t="e">
        <f>VLOOKUP(J21,Na,2,FALSE)</f>
        <v>#N/A</v>
      </c>
      <c r="Q21" t="e">
        <f>Q19*Q20</f>
        <v>#N/A</v>
      </c>
      <c r="R21" t="e">
        <f>R19*R20</f>
        <v>#N/A</v>
      </c>
      <c r="S21" t="e">
        <f>S19*S20</f>
        <v>#N/A</v>
      </c>
    </row>
    <row r="22" spans="1:22" x14ac:dyDescent="0.25">
      <c r="A22" t="s">
        <v>35</v>
      </c>
      <c r="E22" s="144">
        <v>13</v>
      </c>
      <c r="F22" s="15" t="s">
        <v>73</v>
      </c>
      <c r="G22" s="19">
        <v>0.1</v>
      </c>
      <c r="H22" s="19">
        <v>0.3</v>
      </c>
      <c r="I22" s="12">
        <v>0.2</v>
      </c>
      <c r="J22" s="24" t="e">
        <f>VLOOKUP(L8,F,2,FALSE)</f>
        <v>#N/A</v>
      </c>
      <c r="M22" t="e">
        <f>VLOOKUP(L8,F,3,FALSE)</f>
        <v>#N/A</v>
      </c>
      <c r="U22" s="33" t="str">
        <f>IF(ISERROR((DJUB!T37)),"",(DJUB!T37))</f>
        <v/>
      </c>
      <c r="V22" t="str">
        <f>DJUB!T11</f>
        <v/>
      </c>
    </row>
    <row r="23" spans="1:22" x14ac:dyDescent="0.25">
      <c r="A23" s="23">
        <f>DJUB!J12</f>
        <v>0</v>
      </c>
      <c r="E23" s="143">
        <v>14</v>
      </c>
      <c r="F23" s="15" t="s">
        <v>74</v>
      </c>
      <c r="G23" s="19">
        <v>0.12</v>
      </c>
      <c r="H23" s="19">
        <v>0.3</v>
      </c>
      <c r="I23" s="12">
        <v>0.16</v>
      </c>
      <c r="J23" s="24" t="str">
        <f>DJUB!D18</f>
        <v>15-20</v>
      </c>
      <c r="N23" t="e">
        <f>VLOOKUP(O8,K,3,FALSE)</f>
        <v>#N/A</v>
      </c>
      <c r="O23" s="145">
        <v>1</v>
      </c>
      <c r="U23" s="33" t="str">
        <f>IF(ISERROR((ABS(U22))),"",(ABS(U22)))</f>
        <v/>
      </c>
      <c r="V23" t="str">
        <f>IF(ISERROR((ABS(V22))),"",(ABS(V22)))</f>
        <v/>
      </c>
    </row>
    <row r="24" spans="1:22" x14ac:dyDescent="0.25">
      <c r="A24" t="s">
        <v>85</v>
      </c>
      <c r="B24" t="s">
        <v>17</v>
      </c>
      <c r="C24" t="s">
        <v>18</v>
      </c>
      <c r="D24" t="s">
        <v>19</v>
      </c>
      <c r="E24" s="144">
        <v>15</v>
      </c>
      <c r="F24" s="16" t="s">
        <v>75</v>
      </c>
      <c r="G24" s="20">
        <v>0.15</v>
      </c>
      <c r="H24" s="20">
        <v>0.15</v>
      </c>
      <c r="I24" s="13">
        <v>0.15</v>
      </c>
      <c r="R24" t="str">
        <f>VLOOKUP(W14,kalijumdj,2,FALSE)</f>
        <v>K-sol 40%</v>
      </c>
      <c r="S24" s="83">
        <f>VLOOKUP(R24,kdj,2,FALSE)</f>
        <v>0.4</v>
      </c>
      <c r="T24" s="33" t="str">
        <f>IF(ISERROR((U23/S24)),"",(U23/S24))</f>
        <v/>
      </c>
    </row>
    <row r="25" spans="1:22" x14ac:dyDescent="0.25">
      <c r="A25" s="23" t="str">
        <f>IF(ISERROR((VLOOKUP(L9,start,2,FALSE))),"",(VLOOKUP(L9,start,2,FALSE)))</f>
        <v/>
      </c>
      <c r="B25" t="str">
        <f>IF(ISERROR((VLOOKUP($A$25,Startno,2,FALSE))),"0",(VLOOKUP($A$25,Startno,2,FALSE)))</f>
        <v>0</v>
      </c>
      <c r="C25" t="str">
        <f>IF(ISERROR((VLOOKUP($A$25,Startno,3,FALSE))),"0",(VLOOKUP($A$25,Startno,3,FALSE)))</f>
        <v>0</v>
      </c>
      <c r="D25" t="str">
        <f>IF(ISERROR((VLOOKUP($A$25,Startno,4,FALSE))),"0",(VLOOKUP($A$25,Startno,4,FALSE)))</f>
        <v>0</v>
      </c>
      <c r="N25">
        <v>1</v>
      </c>
      <c r="O25" t="s">
        <v>128</v>
      </c>
      <c r="P25">
        <v>0</v>
      </c>
      <c r="R25" t="str">
        <f>VLOOKUP(V7,fosfdj,2,FALSE)</f>
        <v>Bez P-đubriva</v>
      </c>
      <c r="S25" s="83">
        <f>VLOOKUP(R25,p,2,FALSE)</f>
        <v>0</v>
      </c>
      <c r="T25" t="str">
        <f>IF(ISERROR((V23*S25)),"",(V23*S25))</f>
        <v/>
      </c>
    </row>
    <row r="26" spans="1:22" x14ac:dyDescent="0.25">
      <c r="A26" t="s">
        <v>87</v>
      </c>
      <c r="N26">
        <v>2</v>
      </c>
      <c r="O26" t="s">
        <v>101</v>
      </c>
      <c r="P26" s="17">
        <v>0.27</v>
      </c>
    </row>
    <row r="27" spans="1:22" x14ac:dyDescent="0.25">
      <c r="A27" s="31"/>
      <c r="B27" t="e">
        <f>VLOOKUP(A28,NPKP,2,FALSE)</f>
        <v>#N/A</v>
      </c>
      <c r="C27" t="e">
        <f>VLOOKUP(A28,NPKP,3,FALSE)</f>
        <v>#N/A</v>
      </c>
      <c r="D27" t="e">
        <f>VLOOKUP(A28,NPKP,4,FALSE)</f>
        <v>#N/A</v>
      </c>
      <c r="E27" s="32" t="str">
        <f>IF(ISERROR((D27/C27)),"",(D27/C27))</f>
        <v/>
      </c>
      <c r="J27" t="s">
        <v>38</v>
      </c>
      <c r="K27" s="25" t="s">
        <v>39</v>
      </c>
      <c r="L27" t="s">
        <v>25</v>
      </c>
      <c r="M27" t="s">
        <v>32</v>
      </c>
      <c r="N27">
        <v>3</v>
      </c>
      <c r="O27" t="s">
        <v>102</v>
      </c>
      <c r="P27" s="17">
        <v>0.46</v>
      </c>
    </row>
    <row r="28" spans="1:22" x14ac:dyDescent="0.25">
      <c r="A28" s="145" t="e">
        <f>VLOOKUP(E9,NPK,2,FALSE)</f>
        <v>#N/A</v>
      </c>
      <c r="C28" s="1" t="s">
        <v>36</v>
      </c>
      <c r="D28" s="23" t="str">
        <f>VLOOKUP(K34,usjev,2,FALSE)</f>
        <v>Pšenica</v>
      </c>
      <c r="E28" s="3"/>
      <c r="G28" t="s">
        <v>37</v>
      </c>
      <c r="I28" s="23" t="e">
        <f>Q43</f>
        <v>#N/A</v>
      </c>
      <c r="J28" s="24" t="e">
        <f>J21</f>
        <v>#N/A</v>
      </c>
      <c r="K28" s="26"/>
      <c r="L28" s="24" t="e">
        <f>J22</f>
        <v>#N/A</v>
      </c>
      <c r="M28" s="24" t="str">
        <f>J23</f>
        <v>15-20</v>
      </c>
    </row>
    <row r="29" spans="1:22" x14ac:dyDescent="0.25">
      <c r="C29" s="4" t="s">
        <v>17</v>
      </c>
      <c r="D29" s="5" t="s">
        <v>18</v>
      </c>
      <c r="E29" s="6" t="s">
        <v>19</v>
      </c>
      <c r="I29" t="str">
        <f>Q45</f>
        <v/>
      </c>
      <c r="K29" s="27" t="e">
        <f>K21</f>
        <v>#N/A</v>
      </c>
      <c r="L29" t="e">
        <f>M22</f>
        <v>#N/A</v>
      </c>
      <c r="M29" t="e">
        <f>N23</f>
        <v>#N/A</v>
      </c>
    </row>
    <row r="30" spans="1:22" x14ac:dyDescent="0.25">
      <c r="C30" s="7">
        <f>IF(ISERROR((Q35)),"",(Q35))</f>
        <v>25</v>
      </c>
      <c r="D30" s="8">
        <f>IF(ISERROR((R35)),"",(R35))</f>
        <v>13</v>
      </c>
      <c r="E30" s="9">
        <f>IF(ISERROR((S35)),"",(S35))</f>
        <v>22</v>
      </c>
      <c r="I30" t="str">
        <f>Q46</f>
        <v/>
      </c>
    </row>
    <row r="31" spans="1:22" x14ac:dyDescent="0.25">
      <c r="I31" t="str">
        <f>Q47</f>
        <v/>
      </c>
    </row>
    <row r="32" spans="1:22" x14ac:dyDescent="0.25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</row>
    <row r="33" spans="1:21" x14ac:dyDescent="0.25">
      <c r="S33" s="142">
        <v>1</v>
      </c>
    </row>
    <row r="34" spans="1:21" x14ac:dyDescent="0.25">
      <c r="A34" t="s">
        <v>36</v>
      </c>
      <c r="B34" t="s">
        <v>17</v>
      </c>
      <c r="C34" t="s">
        <v>18</v>
      </c>
      <c r="D34" t="s">
        <v>19</v>
      </c>
      <c r="F34" t="s">
        <v>86</v>
      </c>
      <c r="G34" t="s">
        <v>17</v>
      </c>
      <c r="H34" t="s">
        <v>18</v>
      </c>
      <c r="I34" t="s">
        <v>19</v>
      </c>
      <c r="K34" s="142">
        <v>1</v>
      </c>
      <c r="M34" t="s">
        <v>17</v>
      </c>
      <c r="N34" t="s">
        <v>18</v>
      </c>
      <c r="O34" t="s">
        <v>19</v>
      </c>
      <c r="U34" t="s">
        <v>40</v>
      </c>
    </row>
    <row r="35" spans="1:21" x14ac:dyDescent="0.25">
      <c r="B35" s="33">
        <f>IF(ISERROR((A23*C30)),"",(A23*C30))</f>
        <v>0</v>
      </c>
      <c r="C35" s="33">
        <f>IF(ISERROR((A23*D30)),"",(A23*D30))</f>
        <v>0</v>
      </c>
      <c r="D35" s="33">
        <f>IF(ISERROR((A23*E30)),"",(A23*E30))</f>
        <v>0</v>
      </c>
      <c r="F35" s="148" t="e">
        <f>A28</f>
        <v>#N/A</v>
      </c>
      <c r="L35">
        <v>1</v>
      </c>
      <c r="M35">
        <v>25</v>
      </c>
      <c r="N35">
        <v>13</v>
      </c>
      <c r="O35">
        <v>22</v>
      </c>
      <c r="Q35">
        <f>VLOOKUP($K$34,hranj,2,FALSE)</f>
        <v>25</v>
      </c>
      <c r="R35">
        <f>VLOOKUP($K$34,hranj,3,FALSE)</f>
        <v>13</v>
      </c>
      <c r="S35">
        <f>VLOOKUP($K$34,hranj,4,FALSE)</f>
        <v>22</v>
      </c>
      <c r="U35" t="e">
        <f>VLOOKUP(O10,stajnjak,2,FALSE)</f>
        <v>#N/A</v>
      </c>
    </row>
    <row r="36" spans="1:21" x14ac:dyDescent="0.25">
      <c r="A36" t="s">
        <v>56</v>
      </c>
      <c r="B36" s="33" t="str">
        <f>IF(ISERROR((B35*K21)),"",(B35*K21))</f>
        <v/>
      </c>
      <c r="C36" s="33" t="str">
        <f>IF(ISERROR((C35*M22)),"",(C35*M22))</f>
        <v/>
      </c>
      <c r="D36" s="33" t="str">
        <f>IF(ISERROR((D35*N23)),"",(D35*N23))</f>
        <v/>
      </c>
      <c r="F36" s="33" t="str">
        <f>IF(ISERROR((C40/C27)),"",(C40/C27))</f>
        <v/>
      </c>
      <c r="G36" s="33" t="str">
        <f>IF(ISERROR((F36*B27)),"",(F36*B27))</f>
        <v/>
      </c>
      <c r="H36" t="e">
        <f>F36*C27</f>
        <v>#VALUE!</v>
      </c>
      <c r="I36" s="33" t="e">
        <f>F36*D27</f>
        <v>#VALUE!</v>
      </c>
      <c r="L36">
        <v>2</v>
      </c>
      <c r="M36">
        <v>24</v>
      </c>
      <c r="N36">
        <v>12</v>
      </c>
      <c r="O36">
        <v>26</v>
      </c>
    </row>
    <row r="37" spans="1:21" x14ac:dyDescent="0.25">
      <c r="A37" t="s">
        <v>60</v>
      </c>
      <c r="B37" s="33" t="str">
        <f>IF(ISERROR((Q21)),"0",(Q21))</f>
        <v>0</v>
      </c>
      <c r="C37" s="33" t="str">
        <f>IF(ISERROR((R21)),"0",(R21))</f>
        <v>0</v>
      </c>
      <c r="D37" s="33" t="str">
        <f>IF(ISERROR((S21)),"0",(S21))</f>
        <v>0</v>
      </c>
      <c r="F37" s="151">
        <f>DJUB!D21</f>
        <v>0</v>
      </c>
      <c r="G37" s="151">
        <f>F37*B25</f>
        <v>0</v>
      </c>
      <c r="H37" s="151">
        <f>E41*C25</f>
        <v>0</v>
      </c>
      <c r="I37" s="151">
        <f>F37*D25</f>
        <v>0</v>
      </c>
      <c r="L37">
        <v>3</v>
      </c>
      <c r="M37">
        <v>22</v>
      </c>
      <c r="N37">
        <v>14</v>
      </c>
      <c r="O37">
        <v>23</v>
      </c>
    </row>
    <row r="38" spans="1:21" x14ac:dyDescent="0.25">
      <c r="A38" t="s">
        <v>61</v>
      </c>
      <c r="B38" s="152" t="str">
        <f>IF(ISERROR((B36-B37)),"",(B36-B37))</f>
        <v/>
      </c>
      <c r="C38" s="152" t="str">
        <f>IF(ISERROR((C36-C37)),"",(C36-C37))</f>
        <v/>
      </c>
      <c r="D38" s="152" t="str">
        <f>IF(ISERROR((D36-D37)),"",(D36-D37))</f>
        <v/>
      </c>
      <c r="F38" s="31"/>
      <c r="L38">
        <v>4</v>
      </c>
      <c r="M38">
        <v>28</v>
      </c>
      <c r="N38">
        <v>12</v>
      </c>
      <c r="O38">
        <v>29</v>
      </c>
      <c r="Q38">
        <v>2</v>
      </c>
      <c r="R38" t="str">
        <f>F1</f>
        <v>4,0-5,5</v>
      </c>
      <c r="S38" t="str">
        <f>F2</f>
        <v>&lt;2</v>
      </c>
      <c r="T38" s="146" t="str">
        <f>F3</f>
        <v>2-4</v>
      </c>
      <c r="U38" t="str">
        <f>F4</f>
        <v>&gt;4</v>
      </c>
    </row>
    <row r="39" spans="1:21" x14ac:dyDescent="0.25">
      <c r="A39" t="s">
        <v>95</v>
      </c>
      <c r="B39" s="33">
        <f>G37</f>
        <v>0</v>
      </c>
      <c r="C39" s="33">
        <f>H37</f>
        <v>0</v>
      </c>
      <c r="D39" s="33">
        <f>I37</f>
        <v>0</v>
      </c>
      <c r="L39">
        <v>5</v>
      </c>
      <c r="M39">
        <v>26</v>
      </c>
      <c r="N39">
        <v>11</v>
      </c>
      <c r="O39">
        <v>25</v>
      </c>
      <c r="Q39">
        <v>3</v>
      </c>
      <c r="R39" t="str">
        <f>G1</f>
        <v>5,6-8,0</v>
      </c>
      <c r="S39" t="str">
        <f>G2</f>
        <v>&lt;2,</v>
      </c>
      <c r="T39" t="str">
        <f>G3</f>
        <v>2-4,</v>
      </c>
      <c r="U39" t="str">
        <f>G4</f>
        <v>&gt;4,</v>
      </c>
    </row>
    <row r="40" spans="1:21" x14ac:dyDescent="0.25">
      <c r="A40" t="s">
        <v>96</v>
      </c>
      <c r="B40" s="33" t="str">
        <f>IF(ISERROR((B38-B39)),"",(B38-B39))</f>
        <v/>
      </c>
      <c r="C40" s="33" t="str">
        <f>IF(ISERROR((C38-C39)),"",(C38-C39))</f>
        <v/>
      </c>
      <c r="D40" s="33" t="str">
        <f>IF(ISERROR((D38-D39)),"",(D38-D39))</f>
        <v/>
      </c>
      <c r="E40" s="32" t="str">
        <f>IF(ISERROR((D40/C40)),"",(D40/C40))</f>
        <v/>
      </c>
      <c r="G40" s="33" t="str">
        <f>IF(ISERROR((G36+G37+B37+C45)),"",(G36+G37+B37+C45))</f>
        <v/>
      </c>
      <c r="H40" t="e">
        <f>H36+H37+C37</f>
        <v>#VALUE!</v>
      </c>
      <c r="I40" s="33" t="e">
        <f>I36+I37+D37</f>
        <v>#VALUE!</v>
      </c>
      <c r="L40">
        <v>6</v>
      </c>
      <c r="M40">
        <v>60</v>
      </c>
      <c r="N40">
        <v>15</v>
      </c>
      <c r="O40">
        <v>35</v>
      </c>
    </row>
    <row r="41" spans="1:21" x14ac:dyDescent="0.25">
      <c r="B41" s="33" t="str">
        <f>IF(ISERROR((G36)),"",(G36))</f>
        <v/>
      </c>
      <c r="C41" s="33" t="str">
        <f>IF(ISERROR((H36)),"",(H36))</f>
        <v/>
      </c>
      <c r="D41" s="33" t="str">
        <f>IF(ISERROR((I36)),"",(I36))</f>
        <v/>
      </c>
      <c r="E41">
        <f>DJUB!D21</f>
        <v>0</v>
      </c>
      <c r="L41">
        <v>7</v>
      </c>
      <c r="M41">
        <v>70</v>
      </c>
      <c r="N41">
        <v>15</v>
      </c>
      <c r="O41">
        <v>28</v>
      </c>
    </row>
    <row r="42" spans="1:21" x14ac:dyDescent="0.25">
      <c r="A42" t="s">
        <v>97</v>
      </c>
      <c r="B42" s="33" t="str">
        <f>IF(ISERROR((B41-B40)),"",(B41-B40))</f>
        <v/>
      </c>
      <c r="C42" s="33" t="str">
        <f>IF(ISERROR((C41-C40)),"",(C41-C40))</f>
        <v/>
      </c>
      <c r="D42" s="33" t="str">
        <f>IF(ISERROR((D41-D40)),"",(D41-D40))</f>
        <v/>
      </c>
      <c r="L42">
        <v>8</v>
      </c>
      <c r="M42">
        <v>58</v>
      </c>
      <c r="N42">
        <v>15</v>
      </c>
      <c r="O42">
        <v>35</v>
      </c>
    </row>
    <row r="43" spans="1:21" x14ac:dyDescent="0.25">
      <c r="A43" t="str">
        <f>VLOOKUP(O23,KANa,2,FALSE)</f>
        <v>Bez prih.</v>
      </c>
      <c r="B43" s="33" t="str">
        <f>IF(ISERROR((ABS(B42))),"",(ABS(B42)))</f>
        <v/>
      </c>
      <c r="C43" s="33" t="e">
        <f>ABS(C42)</f>
        <v>#VALUE!</v>
      </c>
      <c r="D43" s="33" t="e">
        <f>ABS(D42)</f>
        <v>#VALUE!</v>
      </c>
      <c r="H43">
        <v>1</v>
      </c>
      <c r="I43" s="4" t="s">
        <v>1</v>
      </c>
      <c r="L43">
        <v>9</v>
      </c>
      <c r="M43">
        <v>28</v>
      </c>
      <c r="N43">
        <v>7</v>
      </c>
      <c r="O43">
        <v>18</v>
      </c>
      <c r="Q43" t="e">
        <f>VLOOKUP(S33,pH,2,FALSE)</f>
        <v>#N/A</v>
      </c>
      <c r="R43" t="e">
        <f>VLOOKUP(S33,pH,2,FALSE)</f>
        <v>#N/A</v>
      </c>
    </row>
    <row r="44" spans="1:21" x14ac:dyDescent="0.25">
      <c r="B44" s="33">
        <f>VLOOKUP(A43,KAN,2,FALSE)</f>
        <v>0</v>
      </c>
      <c r="C44" s="33"/>
      <c r="D44" s="33"/>
      <c r="H44">
        <v>2</v>
      </c>
      <c r="I44" s="4" t="s">
        <v>2</v>
      </c>
      <c r="L44">
        <v>10</v>
      </c>
      <c r="M44">
        <v>4</v>
      </c>
      <c r="N44">
        <v>2</v>
      </c>
      <c r="O44">
        <v>6</v>
      </c>
    </row>
    <row r="45" spans="1:21" x14ac:dyDescent="0.25">
      <c r="A45" t="s">
        <v>159</v>
      </c>
      <c r="B45" s="33" t="str">
        <f>IF(ISERROR((B43/B44)),"",(B43/B44))</f>
        <v/>
      </c>
      <c r="C45" s="33" t="str">
        <f>IF(ISERROR((B45*B44)),"0",(B45*B44))</f>
        <v>0</v>
      </c>
      <c r="D45" s="33"/>
      <c r="H45">
        <v>3</v>
      </c>
      <c r="I45" s="4" t="s">
        <v>3</v>
      </c>
      <c r="L45">
        <v>11</v>
      </c>
      <c r="M45">
        <v>5</v>
      </c>
      <c r="N45">
        <v>2</v>
      </c>
      <c r="O45">
        <v>8</v>
      </c>
      <c r="P45">
        <v>2</v>
      </c>
      <c r="Q45" t="str">
        <f>IF(ISERROR((VLOOKUP($Q$43,pHa,2,FALSE))),"",(VLOOKUP($Q$43,pHa,2,FALSE)))</f>
        <v/>
      </c>
    </row>
    <row r="46" spans="1:21" x14ac:dyDescent="0.25">
      <c r="B46" s="33"/>
      <c r="C46" s="33"/>
      <c r="D46" s="33"/>
      <c r="F46" s="33"/>
      <c r="H46">
        <v>4</v>
      </c>
      <c r="I46" s="4" t="s">
        <v>4</v>
      </c>
      <c r="L46">
        <v>12</v>
      </c>
      <c r="M46">
        <v>51</v>
      </c>
      <c r="N46">
        <v>28</v>
      </c>
      <c r="O46">
        <v>51</v>
      </c>
      <c r="P46">
        <v>3</v>
      </c>
      <c r="Q46" t="str">
        <f>IF(ISERROR((VLOOKUP($Q$43,pHa,3,FALSE))),"",(VLOOKUP($Q$43,pHa,3,FALSE)))</f>
        <v/>
      </c>
    </row>
    <row r="47" spans="1:21" x14ac:dyDescent="0.25">
      <c r="A47" t="s">
        <v>105</v>
      </c>
      <c r="B47" s="33">
        <f>B37+B39+B44</f>
        <v>0</v>
      </c>
      <c r="C47" s="33"/>
      <c r="D47" s="171">
        <f>IF(ISERROR((List3!N35)),"",(List3!N35))</f>
        <v>0</v>
      </c>
      <c r="H47">
        <v>5</v>
      </c>
      <c r="I47" s="4" t="s">
        <v>5</v>
      </c>
      <c r="L47">
        <v>13</v>
      </c>
      <c r="M47">
        <v>53</v>
      </c>
      <c r="N47">
        <v>30</v>
      </c>
      <c r="O47">
        <v>153</v>
      </c>
      <c r="P47">
        <v>4</v>
      </c>
      <c r="Q47" t="str">
        <f>IF(ISERROR((VLOOKUP($Q$43,pHa,4,FALSE))),"",(VLOOKUP($Q$43,pHa,4,FALSE)))</f>
        <v/>
      </c>
    </row>
    <row r="48" spans="1:21" x14ac:dyDescent="0.25">
      <c r="H48">
        <v>6</v>
      </c>
      <c r="I48" s="4" t="s">
        <v>6</v>
      </c>
      <c r="L48">
        <v>14</v>
      </c>
      <c r="M48">
        <v>55</v>
      </c>
      <c r="N48">
        <v>16</v>
      </c>
      <c r="O48">
        <v>82</v>
      </c>
    </row>
    <row r="49" spans="8:15" x14ac:dyDescent="0.25">
      <c r="H49">
        <v>7</v>
      </c>
      <c r="I49" s="4" t="s">
        <v>7</v>
      </c>
      <c r="L49">
        <v>15</v>
      </c>
      <c r="M49">
        <v>37</v>
      </c>
      <c r="N49">
        <v>16</v>
      </c>
      <c r="O49">
        <v>50</v>
      </c>
    </row>
    <row r="50" spans="8:15" x14ac:dyDescent="0.25">
      <c r="H50">
        <v>8</v>
      </c>
      <c r="I50" s="4" t="s">
        <v>8</v>
      </c>
      <c r="L50">
        <v>16</v>
      </c>
      <c r="M50">
        <v>2</v>
      </c>
      <c r="N50">
        <v>1</v>
      </c>
      <c r="O50">
        <v>4</v>
      </c>
    </row>
    <row r="51" spans="8:15" x14ac:dyDescent="0.25">
      <c r="H51">
        <v>9</v>
      </c>
      <c r="I51" s="4" t="s">
        <v>9</v>
      </c>
      <c r="L51">
        <v>17</v>
      </c>
      <c r="M51">
        <v>2</v>
      </c>
      <c r="N51">
        <v>3.2</v>
      </c>
      <c r="O51">
        <v>2</v>
      </c>
    </row>
    <row r="52" spans="8:15" x14ac:dyDescent="0.25">
      <c r="H52">
        <v>10</v>
      </c>
      <c r="I52" s="4" t="s">
        <v>10</v>
      </c>
      <c r="L52">
        <v>18</v>
      </c>
      <c r="M52">
        <v>6.25</v>
      </c>
      <c r="N52">
        <v>1.88</v>
      </c>
      <c r="O52">
        <v>7.5</v>
      </c>
    </row>
    <row r="53" spans="8:15" x14ac:dyDescent="0.25">
      <c r="H53">
        <v>11</v>
      </c>
      <c r="I53" s="4" t="s">
        <v>11</v>
      </c>
    </row>
    <row r="54" spans="8:15" x14ac:dyDescent="0.25">
      <c r="H54">
        <v>12</v>
      </c>
      <c r="I54" s="4" t="s">
        <v>12</v>
      </c>
    </row>
    <row r="55" spans="8:15" x14ac:dyDescent="0.25">
      <c r="H55">
        <v>13</v>
      </c>
      <c r="I55" s="4" t="s">
        <v>13</v>
      </c>
    </row>
    <row r="56" spans="8:15" x14ac:dyDescent="0.25">
      <c r="H56">
        <v>14</v>
      </c>
      <c r="I56" s="4" t="s">
        <v>14</v>
      </c>
    </row>
    <row r="57" spans="8:15" x14ac:dyDescent="0.25">
      <c r="H57">
        <v>15</v>
      </c>
      <c r="I57" s="4" t="s">
        <v>16</v>
      </c>
    </row>
    <row r="58" spans="8:15" x14ac:dyDescent="0.25">
      <c r="H58">
        <v>16</v>
      </c>
      <c r="I58" s="7" t="s">
        <v>15</v>
      </c>
    </row>
    <row r="59" spans="8:15" x14ac:dyDescent="0.25">
      <c r="H59">
        <v>17</v>
      </c>
      <c r="I59" s="139" t="s">
        <v>156</v>
      </c>
    </row>
    <row r="60" spans="8:15" x14ac:dyDescent="0.25">
      <c r="H60">
        <v>18</v>
      </c>
      <c r="I60" s="139" t="s">
        <v>157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5</vt:i4>
      </vt:variant>
      <vt:variant>
        <vt:lpstr>Imenovani opsezi</vt:lpstr>
      </vt:variant>
      <vt:variant>
        <vt:i4>37</vt:i4>
      </vt:variant>
    </vt:vector>
  </HeadingPairs>
  <TitlesOfParts>
    <vt:vector size="42" baseType="lpstr">
      <vt:lpstr>DJUB</vt:lpstr>
      <vt:lpstr>MEL</vt:lpstr>
      <vt:lpstr>Izvještaj</vt:lpstr>
      <vt:lpstr>List3</vt:lpstr>
      <vt:lpstr>List2</vt:lpstr>
      <vt:lpstr>ca</vt:lpstr>
      <vt:lpstr>dub</vt:lpstr>
      <vt:lpstr>dubi</vt:lpstr>
      <vt:lpstr>F</vt:lpstr>
      <vt:lpstr>fosfdj</vt:lpstr>
      <vt:lpstr>hranj</vt:lpstr>
      <vt:lpstr>humsol</vt:lpstr>
      <vt:lpstr>humus</vt:lpstr>
      <vt:lpstr>izn</vt:lpstr>
      <vt:lpstr>K</vt:lpstr>
      <vt:lpstr>kalijumdj</vt:lpstr>
      <vt:lpstr>KAN</vt:lpstr>
      <vt:lpstr>KANa</vt:lpstr>
      <vt:lpstr>kd</vt:lpstr>
      <vt:lpstr>kdj</vt:lpstr>
      <vt:lpstr>kis</vt:lpstr>
      <vt:lpstr>kk</vt:lpstr>
      <vt:lpstr>MAP</vt:lpstr>
      <vt:lpstr>mapom</vt:lpstr>
      <vt:lpstr>N</vt:lpstr>
      <vt:lpstr>Na</vt:lpstr>
      <vt:lpstr>NPK</vt:lpstr>
      <vt:lpstr>NPKP</vt:lpstr>
      <vt:lpstr>ostaci</vt:lpstr>
      <vt:lpstr>p</vt:lpstr>
      <vt:lpstr>pH</vt:lpstr>
      <vt:lpstr>pHa</vt:lpstr>
      <vt:lpstr>pp</vt:lpstr>
      <vt:lpstr>Soja</vt:lpstr>
      <vt:lpstr>st</vt:lpstr>
      <vt:lpstr>stajnjak</vt:lpstr>
      <vt:lpstr>start</vt:lpstr>
      <vt:lpstr>Startno</vt:lpstr>
      <vt:lpstr>stv</vt:lpstr>
      <vt:lpstr>sup</vt:lpstr>
      <vt:lpstr>tekstura</vt:lpstr>
      <vt:lpstr>usjev</vt:lpstr>
    </vt:vector>
  </TitlesOfParts>
  <Company>Poljoprivredni fakultet, Banja Luka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Prof. dr Ilija Komljenović</dc:creator>
  <cp:lastModifiedBy>Admin</cp:lastModifiedBy>
  <cp:lastPrinted>2013-09-22T14:18:36Z</cp:lastPrinted>
  <dcterms:created xsi:type="dcterms:W3CDTF">2013-09-20T08:37:31Z</dcterms:created>
  <dcterms:modified xsi:type="dcterms:W3CDTF">2022-04-17T11:11:31Z</dcterms:modified>
</cp:coreProperties>
</file>